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7" activeTab="7"/>
  </bookViews>
  <sheets>
    <sheet name="Основное" sheetId="4" r:id="rId1"/>
    <sheet name="с ОПУ" sheetId="62" r:id="rId2"/>
    <sheet name="Строителей 3" sheetId="32" r:id="rId3"/>
    <sheet name="Строителей 11" sheetId="31" r:id="rId4"/>
    <sheet name="Энергетиков 25" sheetId="30" r:id="rId5"/>
    <sheet name="Энергетиков 27" sheetId="60" r:id="rId6"/>
    <sheet name="Энергетиков 29" sheetId="59" r:id="rId7"/>
    <sheet name="Мира 1" sheetId="58" r:id="rId8"/>
  </sheets>
  <definedNames>
    <definedName name="_xlnm.Print_Area" localSheetId="7">'Мира 1'!$A$1:$H$100</definedName>
    <definedName name="_xlnm.Print_Area" localSheetId="0">Основное!$A$1:$J$30</definedName>
    <definedName name="_xlnm.Print_Area" localSheetId="3">'Строителей 11'!$A$1:$H$94</definedName>
    <definedName name="_xlnm.Print_Area" localSheetId="2">'Строителей 3'!$A$1:$H$100</definedName>
    <definedName name="_xlnm.Print_Area" localSheetId="4">'Энергетиков 25'!$A$1:$H$100</definedName>
    <definedName name="_xlnm.Print_Area" localSheetId="5">'Энергетиков 27'!$A$1:$H$97</definedName>
    <definedName name="_xlnm.Print_Area" localSheetId="6">'Энергетиков 29'!$A$1:$H$92</definedName>
  </definedNames>
  <calcPr calcId="124519"/>
</workbook>
</file>

<file path=xl/calcChain.xml><?xml version="1.0" encoding="utf-8"?>
<calcChain xmlns="http://schemas.openxmlformats.org/spreadsheetml/2006/main">
  <c r="C83" i="59"/>
  <c r="G88" i="60"/>
  <c r="G91" i="30"/>
  <c r="G91" i="32"/>
  <c r="F85" i="31"/>
  <c r="H24" i="58"/>
  <c r="H24" i="59"/>
  <c r="H24" i="60"/>
  <c r="H24" i="31"/>
  <c r="H24" i="32"/>
  <c r="H24" i="30"/>
  <c r="H64" i="59"/>
  <c r="H70" i="32"/>
  <c r="H67" i="60"/>
  <c r="H70" i="30"/>
  <c r="H64" i="31"/>
  <c r="H71" i="58"/>
  <c r="H65" i="59"/>
  <c r="H68" i="60"/>
  <c r="H71" i="30"/>
  <c r="H65" i="31"/>
  <c r="H71" i="32"/>
  <c r="H73" i="58"/>
  <c r="H52"/>
  <c r="H67" i="59"/>
  <c r="H46"/>
  <c r="H73" i="30"/>
  <c r="H51" s="1"/>
  <c r="H67" i="31"/>
  <c r="H47" s="1"/>
  <c r="H73" i="32"/>
  <c r="H52" s="1"/>
  <c r="H70" i="60"/>
  <c r="H49" s="1"/>
  <c r="H41" i="4"/>
  <c r="H69" i="58"/>
  <c r="H63" i="59"/>
  <c r="H66" i="60"/>
  <c r="H69" i="30"/>
  <c r="H63" i="31"/>
  <c r="H69" i="32"/>
  <c r="H32" i="4"/>
  <c r="H70" i="58"/>
  <c r="H34" i="4"/>
  <c r="H45"/>
  <c r="H47"/>
  <c r="H46"/>
  <c r="H43"/>
  <c r="H42"/>
  <c r="H35" i="59"/>
  <c r="H34" i="60"/>
  <c r="H40"/>
  <c r="H36" i="30"/>
  <c r="H35" i="32"/>
  <c r="H36"/>
  <c r="H68" i="30"/>
  <c r="H53"/>
  <c r="H65" i="60"/>
  <c r="H51"/>
  <c r="H38" i="31"/>
  <c r="H62" i="59"/>
  <c r="H48"/>
  <c r="H62" i="31"/>
  <c r="H49"/>
  <c r="H68" i="32"/>
  <c r="H54"/>
  <c r="H68" i="58"/>
  <c r="H54"/>
  <c r="H47" i="59"/>
  <c r="H50" i="60"/>
  <c r="H52" i="30"/>
  <c r="H48" i="31"/>
  <c r="H53" i="32"/>
  <c r="H53" i="58"/>
  <c r="H67" i="32"/>
  <c r="H38"/>
  <c r="H44" i="30"/>
  <c r="H43"/>
  <c r="H39" i="59"/>
  <c r="H60"/>
  <c r="H34"/>
  <c r="H66" i="30"/>
  <c r="H35"/>
  <c r="H38" i="59"/>
  <c r="H42" i="58"/>
  <c r="H45" i="32"/>
  <c r="H40" i="58"/>
  <c r="H66" i="32"/>
  <c r="H34"/>
  <c r="H66" i="58"/>
  <c r="H35"/>
  <c r="H35" i="31"/>
  <c r="H42" i="32"/>
  <c r="H36" i="58"/>
  <c r="H41" i="30"/>
  <c r="H41" i="60"/>
  <c r="H64"/>
  <c r="H36"/>
  <c r="H45" i="58"/>
  <c r="H42" i="60"/>
  <c r="H67" i="30"/>
  <c r="H34"/>
  <c r="H62" i="60"/>
  <c r="H35"/>
  <c r="H65" i="30"/>
  <c r="H40"/>
  <c r="H41" i="32"/>
  <c r="H61" i="31"/>
  <c r="H34"/>
  <c r="H40"/>
  <c r="H63" i="60"/>
  <c r="H37"/>
  <c r="H67" i="58"/>
  <c r="H37"/>
  <c r="H61" i="59"/>
  <c r="H43" i="32"/>
  <c r="H43" i="58"/>
  <c r="H34"/>
  <c r="H37" i="30"/>
  <c r="H37" i="32"/>
  <c r="H42" i="30"/>
  <c r="H39" i="31"/>
  <c r="H44" i="58"/>
  <c r="H44" i="32"/>
  <c r="H41" i="58"/>
  <c r="F24"/>
  <c r="H38"/>
  <c r="F91"/>
  <c r="F24" i="59"/>
  <c r="H36"/>
  <c r="F24" i="60"/>
  <c r="H38"/>
  <c r="F24" i="30"/>
  <c r="H38"/>
  <c r="F24" i="31"/>
  <c r="H36"/>
  <c r="H60"/>
  <c r="H58" s="1"/>
  <c r="F24" i="32"/>
  <c r="H39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G26"/>
  <c r="G30"/>
  <c r="E14" i="62"/>
  <c r="D14"/>
  <c r="H84" i="32"/>
  <c r="H83"/>
  <c r="H82"/>
  <c r="H81"/>
  <c r="H80"/>
  <c r="H79"/>
  <c r="H78"/>
  <c r="H77"/>
  <c r="H76"/>
  <c r="H75"/>
  <c r="H74"/>
  <c r="H72"/>
  <c r="H65"/>
  <c r="H63" s="1"/>
  <c r="H78" i="31"/>
  <c r="H77"/>
  <c r="H76"/>
  <c r="H75"/>
  <c r="H74"/>
  <c r="H73"/>
  <c r="H72"/>
  <c r="H71"/>
  <c r="H70"/>
  <c r="H69"/>
  <c r="H68"/>
  <c r="H66"/>
  <c r="H84" i="30"/>
  <c r="H83"/>
  <c r="H82"/>
  <c r="H81"/>
  <c r="H80"/>
  <c r="H79"/>
  <c r="H78"/>
  <c r="H77"/>
  <c r="H76"/>
  <c r="H75"/>
  <c r="H74"/>
  <c r="H72"/>
  <c r="H64"/>
  <c r="H62" s="1"/>
  <c r="H81" i="60"/>
  <c r="H80"/>
  <c r="H79"/>
  <c r="H78"/>
  <c r="H77"/>
  <c r="H76"/>
  <c r="H75"/>
  <c r="H74"/>
  <c r="H73"/>
  <c r="H72"/>
  <c r="H71"/>
  <c r="H69"/>
  <c r="H61"/>
  <c r="H59" s="1"/>
  <c r="H76" i="59"/>
  <c r="H75"/>
  <c r="H74"/>
  <c r="H73"/>
  <c r="H72"/>
  <c r="H71"/>
  <c r="H70"/>
  <c r="H69"/>
  <c r="H68"/>
  <c r="H66"/>
  <c r="H59"/>
  <c r="H57" s="1"/>
  <c r="H84" i="58"/>
  <c r="H83"/>
  <c r="H82"/>
  <c r="H81"/>
  <c r="H80"/>
  <c r="H79"/>
  <c r="H78"/>
  <c r="H77"/>
  <c r="H76"/>
  <c r="H75"/>
  <c r="H74"/>
  <c r="H72"/>
  <c r="H65"/>
  <c r="H63" s="1"/>
  <c r="O32" i="4"/>
  <c r="K36" l="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<sst xmlns="http://schemas.openxmlformats.org/spreadsheetml/2006/main" count="854" uniqueCount="282">
  <si>
    <t xml:space="preserve">ремонт электрооборудования </t>
  </si>
  <si>
    <t>Общая площадь дома - 9598,80 кв. м</t>
  </si>
  <si>
    <t>Общая площадь квартир - 7702,20 кв.м.</t>
  </si>
  <si>
    <t>Доходы полученные от размещения рекламы и предоставления места под аренду в многоквартирном доме №11 по ул.Строителей представлены в таблице №5</t>
  </si>
  <si>
    <t>Доходы полученные от размещения рекламы и предоставления места под аренду в многоквартирном доме №25 по ул.Энергетиков представлены в таблице №5</t>
  </si>
  <si>
    <t>Ремонт кровли</t>
  </si>
  <si>
    <t>Общая площадь квартир - 5475,70 кв.м.</t>
  </si>
  <si>
    <t>Общая площадь дома - 7186,20 кв. м</t>
  </si>
  <si>
    <t>Общая площадь дома - 5161,20 кв. м</t>
  </si>
  <si>
    <t>Дополнительные доходы (реклама в лифте,размещение оборудования сотовой связи),руб.</t>
  </si>
  <si>
    <t>Общая площадь дома - 4659,80 кв. м</t>
  </si>
  <si>
    <t>Доходы полученные от размещения рекламы и предоставления места под аренду в многоквартирном доме №1 по ул.Мира представлены в таблице №5</t>
  </si>
  <si>
    <t>Доходы полученные от размещения рекламы и предоставления места под аренду в многоквартирном доме №29 по ул.Энергетиков представлены в таблице №5</t>
  </si>
  <si>
    <t>Доходы полученные от размещения рекламы и предоставления места под аренду в многоквартирном доме №27 по ул.Энергетиков представлены в таблице №5</t>
  </si>
  <si>
    <t>содержание 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</si>
  <si>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</si>
  <si>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</si>
  <si>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краска,скобяные изделия, песок,замки и т.д.)</t>
    </r>
  </si>
  <si>
    <t>Замена доводчика</t>
  </si>
  <si>
    <t>Обслуживание ОПУ по ГВС, ХВС</t>
  </si>
  <si>
    <t xml:space="preserve"> об исполнении договора управления жилым домом №1 по ул.Мира</t>
  </si>
  <si>
    <t xml:space="preserve">за период: 2017 г. </t>
  </si>
  <si>
    <t>0,66 руб/м²</t>
  </si>
  <si>
    <t>Движение денежных средств по статье текущий ремонт за 2017г.</t>
  </si>
  <si>
    <t>Общая площадь квартир - 9509,18 кв.м.</t>
  </si>
  <si>
    <t>Содержание (лампы, оборудования домофона)</t>
  </si>
  <si>
    <t>содержание (лампы, оборудования домофона.)</t>
  </si>
  <si>
    <t xml:space="preserve"> об исполнении договора управления жилым домом №29 по ул.Энергетиков.</t>
  </si>
  <si>
    <t>Общая площадь квартир -3846,10 кв.м.</t>
  </si>
  <si>
    <t>Общая площадь квартир -3645,70 кв.м.</t>
  </si>
  <si>
    <t>Окраска мусорных контейнеров,скамеек,дверей</t>
  </si>
  <si>
    <t>Ремонт межпанельных швов</t>
  </si>
  <si>
    <t xml:space="preserve">ремонт общестроительный </t>
  </si>
  <si>
    <t>Смена светильника,трансформатора,авт.выключатель</t>
  </si>
  <si>
    <t>Смена доводчика</t>
  </si>
  <si>
    <t>Установка счетильников,трансформатор,эл.сч.</t>
  </si>
  <si>
    <t>Ремонт крыльца</t>
  </si>
  <si>
    <t>Содержание (лампы)</t>
  </si>
  <si>
    <t>ремонт общестроительный</t>
  </si>
  <si>
    <t>окраска мусорных контейнеров,скамеек,дверей</t>
  </si>
  <si>
    <t>Смена светильника ,авт.выключатель,трансформатор,эл.сч.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</si>
  <si>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</si>
  <si>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</si>
  <si>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</si>
  <si>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</si>
  <si>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</si>
  <si>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</si>
  <si>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электрогазосварщик, кровельщик, контролер по учету эл/эн, АУП)</t>
  </si>
  <si>
    <t>Работы по ремонту инженерного оборудования и других видов общего по содержанию имущества многоквартирного дома</t>
  </si>
  <si>
    <t>ул.Энергетиков д.29</t>
  </si>
  <si>
    <t xml:space="preserve">за период: 2018 г.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</si>
  <si>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rFont val="Arial"/>
        <family val="2"/>
        <charset val="204"/>
      </rPr>
      <t xml:space="preserve">17,26 руб/м², </t>
    </r>
  </si>
  <si>
    <t>1,60 руб/м²</t>
  </si>
  <si>
    <t>10,54 руб/м²</t>
  </si>
  <si>
    <t>В таблице №1 приведено движение денежных средств по статье текущий ремонт  по лицевому счету дома №3 по ул.Строителей за 2018г.</t>
  </si>
  <si>
    <t>Движение денежных средств по статье текущий ремонт за 2018г.</t>
  </si>
  <si>
    <t xml:space="preserve">В 2018 году были произведены следующие виды работ по текущему ремонту, </t>
  </si>
  <si>
    <t>Утепление межпанельных швов ООО Ирбис</t>
  </si>
  <si>
    <t>Установка пандуса</t>
  </si>
  <si>
    <t>Установка металических дверей ИП. Дурнев</t>
  </si>
  <si>
    <t>В ходе плановых осмотров, а также на основании обращений собственников помещений жилого дома №3 по ул.Строителей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</si>
  <si>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№11 по ул.Строителей за 2018г.</t>
  </si>
  <si>
    <t>В ходе плановых осмотров, а также на основании обращений собственников помещений жилого дома №11 по ул.Строителей в 2018году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</si>
  <si>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 - вывоз ТБО до 01.07.2018г</t>
  </si>
  <si>
    <t xml:space="preserve"> - утилизация ТБО до 01.07.2018г</t>
  </si>
  <si>
    <t>В таблице №1 приведено движение денежных средств по статье текущий ремонт  по лицевому счету дома №25 по ул.Энергетиков за 2018г.</t>
  </si>
  <si>
    <t>В ходе плановых осмотров, а также на основании обращений собственников помещений жилого дома №25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</si>
  <si>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№27 по ул.Энергетиков за 2018г.</t>
  </si>
  <si>
    <t xml:space="preserve">В 2018 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</si>
  <si>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№27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</si>
  <si>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1,14 руб/м²</t>
  </si>
  <si>
    <t>7,46 руб/м²</t>
  </si>
  <si>
    <r>
      <t>Тариф на жилищные услуги (содержание и текущий ремонт общего имущества), утвержденный постановлением Администрации г. Курчатова №594 от 30.05.2018 г.  и общим собранием собственников:</t>
    </r>
    <r>
      <rPr>
        <b/>
        <sz val="11"/>
        <rFont val="Arial"/>
        <family val="2"/>
        <charset val="204"/>
      </rPr>
      <t xml:space="preserve"> 10,81 руб/м², </t>
    </r>
  </si>
  <si>
    <t>В таблице №1 приведено движение денежных средств по статье текущий ремонт  по лицевому счету дома №29 по ул.Энергетиков за 2018г.</t>
  </si>
  <si>
    <t xml:space="preserve">В 2018году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</si>
  <si>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№29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</si>
  <si>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 - вывоз ТБО до 01.07.18г</t>
  </si>
  <si>
    <t xml:space="preserve"> - утилизация ТБО  до 01.07.18г</t>
  </si>
  <si>
    <t>В таблице №1 приведено движение денежных средств по статье текущий ремонт  по лицевому счету дома №1 по ул.Мира за 2018г.</t>
  </si>
  <si>
    <t>В ходе плановых осмотров, а также на основании обращений собственников помещений жилого дома №1 по ул.Мира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</si>
  <si>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Ремонт крыльца ИП Дурнев</t>
  </si>
  <si>
    <t>Облицовка козырьков над входом ооо Радуга</t>
  </si>
  <si>
    <t>Установа направляющих лотков в м/камерах ооо Радуга</t>
  </si>
  <si>
    <t>Ремонт кровли балкона ООО Ирбис</t>
  </si>
  <si>
    <t>Установка парковой скамейки,ремонт мет-аллических ограж-ий</t>
  </si>
  <si>
    <t>Ремонт кровли ООО Теплострой+</t>
  </si>
  <si>
    <t>Опиловка деревьев</t>
  </si>
  <si>
    <t>Ремонт отмостки</t>
  </si>
  <si>
    <t>Устройство стяжек, установка парковой скамейки</t>
  </si>
  <si>
    <t>Установка мусорного клапана, скамейки парковой</t>
  </si>
  <si>
    <t>Замена авт.выключатель, светильники</t>
  </si>
  <si>
    <t>Замена автом.выключателя, светильника</t>
  </si>
  <si>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</si>
  <si>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</si>
  <si>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</si>
  <si>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</si>
  <si>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Нормативная численность обслуживающего персонала  - 1,5 чел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</si>
  <si>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</si>
  <si>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</si>
  <si>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</si>
  <si>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</si>
  <si>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</si>
  <si>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</si>
  <si>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</si>
  <si>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</si>
  <si>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</si>
  <si>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</si>
  <si>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</si>
  <si>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</si>
  <si>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</si>
  <si>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</si>
  <si>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</si>
  <si>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</si>
  <si>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</si>
  <si>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</si>
  <si>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Количество подъездов - 3</t>
  </si>
  <si>
    <t>Количество подъездов - 6</t>
  </si>
  <si>
    <t>Количество подъездов - 1</t>
  </si>
  <si>
    <t>Количество подъездов - 5</t>
  </si>
  <si>
    <t>Нормативная численность обслуживающего персонала  - 3,6 чел</t>
  </si>
  <si>
    <t>Количество квартир - 105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</si>
  <si>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</si>
  <si>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</si>
  <si>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</si>
  <si>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</si>
  <si>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</si>
  <si>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</si>
  <si>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</si>
  <si>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</si>
  <si>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</si>
  <si>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</si>
  <si>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</si>
  <si>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</si>
  <si>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</si>
  <si>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</si>
  <si>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</si>
  <si>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</si>
  <si>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</si>
  <si>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</si>
  <si>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</si>
  <si>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</si>
  <si>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</si>
  <si>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</si>
  <si>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</si>
  <si>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</si>
  <si>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</si>
  <si>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</si>
  <si>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</si>
  <si>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</si>
  <si>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</si>
  <si>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</si>
  <si>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</si>
  <si>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</si>
  <si>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</si>
  <si>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</si>
  <si>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</si>
  <si>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</si>
  <si>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</si>
  <si>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</si>
  <si>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</si>
  <si>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</si>
  <si>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</si>
  <si>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</si>
  <si>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</si>
  <si>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</si>
  <si>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</si>
  <si>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</si>
  <si>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</si>
  <si>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</si>
  <si>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 xml:space="preserve">Адрес дома - Строителей 3 </t>
  </si>
  <si>
    <t>Количество квартир - 180</t>
  </si>
  <si>
    <t>Площадь подъезда - 1174 кв. м</t>
  </si>
  <si>
    <t>Площадь подвала - 1215,8 кв. м</t>
  </si>
  <si>
    <t>Площадь кровли - 1466,6 кв. м</t>
  </si>
  <si>
    <t>Площадь газона - 486 кв. м</t>
  </si>
  <si>
    <t>Управляющая организация ООО "Благоустроенный город"</t>
  </si>
  <si>
    <t xml:space="preserve">Адрес дома - Строителей 11 </t>
  </si>
  <si>
    <t>Количество квартир - 36</t>
  </si>
  <si>
    <t>Площадь подъезда - 289,6 кв. м</t>
  </si>
  <si>
    <t>Площадь подвала - 276,7 кв. м</t>
  </si>
  <si>
    <t>Площадь кровли - 369,6 кв. м</t>
  </si>
  <si>
    <t>Площадь газона - 450 кв. м</t>
  </si>
  <si>
    <t>Нормативная численность обслуживающего персонала  - 1,0 чел</t>
  </si>
  <si>
    <t xml:space="preserve">Адрес дома - Энергетиков 25 </t>
  </si>
  <si>
    <t>Площадь подъезда - 936,8 кв. м</t>
  </si>
  <si>
    <t>Площадь подвала - 972,8 кв. м</t>
  </si>
  <si>
    <t>Площадь кровли - 1173 кв. м</t>
  </si>
  <si>
    <t>Площадь газона - 434 кв. м</t>
  </si>
  <si>
    <t>Нормативная численность обслуживающего персонала  - 2,9 чел</t>
  </si>
  <si>
    <t xml:space="preserve">Адрес дома - Энергетиков 27 </t>
  </si>
  <si>
    <t>Площадь подъезда - 935,6 кв. м</t>
  </si>
  <si>
    <t>Площадь газона - 210 кв. м</t>
  </si>
  <si>
    <t>Нормативная численность обслуживающего персонала  - 2,4 чел</t>
  </si>
  <si>
    <t xml:space="preserve">Адрес дома - Энергетиков 29 </t>
  </si>
  <si>
    <t>Количество этажей - 5</t>
  </si>
  <si>
    <t>Количество квартир - 79</t>
  </si>
  <si>
    <t>Площадь подъезда - 433,9 кв. м</t>
  </si>
  <si>
    <t>Площадь подвала - 874,8 кв. м</t>
  </si>
  <si>
    <t>Площадь кровли - 897,9 кв. м</t>
  </si>
  <si>
    <t>Площадь газона - 252 кв. м</t>
  </si>
  <si>
    <t>Нормативная численность обслуживающего персонала  - 2,0 чел</t>
  </si>
  <si>
    <t xml:space="preserve">Адрес дома - Мира 1 </t>
  </si>
  <si>
    <t>Площадь подъезда - 576,5 кв. м</t>
  </si>
  <si>
    <t>Площадь подвала - 439,8 кв. м</t>
  </si>
  <si>
    <t>Площадь кровли - 610,6 кв. м</t>
  </si>
  <si>
    <t>Площадь газона - 372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</si>
  <si>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</si>
  <si>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</si>
  <si>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</si>
  <si>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</si>
  <si>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</si>
  <si>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</si>
  <si>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</si>
  <si>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</si>
  <si>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</si>
  <si>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</si>
  <si>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</si>
  <si>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</si>
  <si>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</si>
  <si>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</si>
  <si>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</si>
  <si>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</si>
  <si>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</si>
  <si>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</si>
  <si>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</si>
  <si>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</si>
  <si>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</si>
  <si>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</si>
  <si>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</si>
  <si>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</si>
  <si>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</si>
  <si>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</si>
  <si>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 xml:space="preserve"> об исполнении договора управления жилым домом №3 по ул.Строителей.</t>
  </si>
  <si>
    <t>ул.Строителей д.3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</si>
  <si>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</si>
  <si>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</si>
  <si>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№11 по ул.Строителей.</t>
  </si>
  <si>
    <t xml:space="preserve"> об исполнении договора управления жилым домом №25 по ул.Энергетиков.</t>
  </si>
  <si>
    <t>ул.Энергетиков д.25</t>
  </si>
  <si>
    <t xml:space="preserve"> об исполнении договора управления жилым домом №27 по ул.Энергетиков.</t>
  </si>
  <si>
    <t>ул.Энергетиков д.27</t>
  </si>
  <si>
    <t xml:space="preserve"> - содержание</t>
  </si>
  <si>
    <t>ул.Мира д.1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</si>
  <si>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</si>
  <si>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</si>
  <si>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Общая площадь дома - 11880,90 кв. м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</si>
  <si>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</si>
  <si>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</si>
  <si>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</si>
  <si>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</si>
  <si>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</si>
  <si>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</si>
  <si>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</si>
  <si>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</si>
  <si>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</si>
  <si>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Доходы полученные от размещения рекламы и предоставления места под аренду в многоквартирном доме №3 по ул.Строителей представлены в таблице №5</t>
  </si>
  <si>
    <t>ООО "Лифтборт"</t>
  </si>
  <si>
    <t>ООО "Империал"</t>
  </si>
  <si>
    <t>Итого</t>
  </si>
  <si>
    <t>Общая площадь квартир - 2191,10 кв.м.</t>
  </si>
  <si>
    <t>Общая площадь дома - 2611,60 кв. м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</si>
  <si>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</si>
  <si>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</si>
  <si>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</si>
  <si>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</si>
  <si>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</si>
  <si>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</si>
  <si>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</si>
  <si>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</si>
  <si>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</si>
  <si>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</si>
  <si>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</si>
  <si>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</si>
  <si>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</si>
  <si>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</si>
  <si>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</si>
  <si>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</si>
  <si>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</si>
  <si>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</si>
  <si>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</si>
  <si>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</si>
  <si>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Итого: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</si>
</sst>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5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47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0" fontId="22" fillId="3" borderId="3" xfId="3" applyFont="1" applyFill="1" applyBorder="1" applyAlignment="1"/>
    <xf numFmtId="0" fontId="22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0" fontId="31" fillId="3" borderId="0" xfId="3" applyFont="1" applyFill="1" applyBorder="1" applyAlignment="1">
      <alignment horizontal="lef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20" fillId="3" borderId="0" xfId="0" applyNumberFormat="1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0" fontId="22" fillId="3" borderId="4" xfId="3" applyFont="1" applyFill="1" applyBorder="1" applyAlignment="1">
      <alignment horizontal="center" vertical="center"/>
    </xf>
    <xf numFmtId="1" fontId="20" fillId="3" borderId="0" xfId="0" applyNumberFormat="1" applyFont="1" applyFill="1" applyBorder="1"/>
    <xf numFmtId="0" fontId="22" fillId="3" borderId="1" xfId="3" applyFont="1" applyFill="1" applyBorder="1" applyAlignment="1">
      <alignment horizontal="right"/>
    </xf>
    <xf numFmtId="0" fontId="31" fillId="3" borderId="1" xfId="3" applyFont="1" applyFill="1" applyBorder="1" applyAlignment="1">
      <alignment horizontal="right"/>
    </xf>
    <xf numFmtId="0" fontId="31" fillId="3" borderId="5" xfId="3" applyFont="1" applyFill="1" applyBorder="1" applyAlignment="1"/>
    <xf numFmtId="0" fontId="31" fillId="3" borderId="3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7" fillId="3" borderId="0" xfId="3" applyFont="1" applyFill="1" applyAlignment="1">
      <alignment horizontal="left"/>
    </xf>
    <xf numFmtId="0" fontId="4" fillId="3" borderId="7" xfId="3" applyFont="1" applyFill="1" applyBorder="1" applyAlignment="1">
      <alignment horizontal="center" vertical="center"/>
    </xf>
    <xf numFmtId="0" fontId="33" fillId="3" borderId="4" xfId="3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right"/>
    </xf>
    <xf numFmtId="0" fontId="31" fillId="3" borderId="0" xfId="3" applyFont="1" applyFill="1" applyBorder="1" applyAlignment="1">
      <alignment horizontal="center"/>
    </xf>
    <xf numFmtId="0" fontId="4" fillId="3" borderId="0" xfId="3" applyFont="1" applyFill="1" applyBorder="1">
      <alignment horizontal="left"/>
    </xf>
    <xf numFmtId="0" fontId="22" fillId="3" borderId="5" xfId="3" applyFont="1" applyFill="1" applyBorder="1" applyAlignment="1">
      <alignment horizontal="center" vertical="center"/>
    </xf>
    <xf numFmtId="0" fontId="22" fillId="3" borderId="0" xfId="3" applyFont="1" applyFill="1" applyAlignment="1">
      <alignment horizontal="center" wrapText="1"/>
    </xf>
    <xf numFmtId="1" fontId="33" fillId="3" borderId="8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22" fillId="3" borderId="4" xfId="3" applyFont="1" applyFill="1" applyBorder="1" applyAlignment="1">
      <alignment horizontal="center"/>
    </xf>
    <xf numFmtId="1" fontId="20" fillId="3" borderId="0" xfId="0" applyNumberFormat="1" applyFont="1" applyFill="1"/>
    <xf numFmtId="2" fontId="20" fillId="3" borderId="0" xfId="0" applyNumberFormat="1" applyFont="1" applyFill="1" applyAlignment="1">
      <alignment horizontal="center"/>
    </xf>
    <xf numFmtId="1" fontId="5" fillId="3" borderId="1" xfId="3" applyNumberFormat="1" applyFont="1" applyFill="1" applyBorder="1" applyAlignment="1">
      <alignment horizontal="right"/>
    </xf>
    <xf numFmtId="1" fontId="31" fillId="3" borderId="1" xfId="3" applyNumberFormat="1" applyFont="1" applyFill="1" applyBorder="1" applyAlignment="1">
      <alignment horizontal="right" wrapText="1"/>
    </xf>
    <xf numFmtId="0" fontId="22" fillId="3" borderId="1" xfId="0" applyFont="1" applyFill="1" applyBorder="1" applyAlignment="1">
      <alignment horizontal="center"/>
    </xf>
    <xf numFmtId="2" fontId="22" fillId="3" borderId="1" xfId="3" applyNumberFormat="1" applyFont="1" applyFill="1" applyBorder="1" applyAlignment="1">
      <alignment horizontal="center"/>
    </xf>
    <xf numFmtId="0" fontId="7" fillId="0" borderId="0" xfId="3" applyFont="1">
      <alignment horizontal="left"/>
    </xf>
    <xf numFmtId="0" fontId="36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4" fillId="3" borderId="0" xfId="3" applyFont="1" applyFill="1" applyBorder="1" applyAlignment="1">
      <alignment horizontal="center"/>
    </xf>
    <xf numFmtId="0" fontId="31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31" fillId="3" borderId="0" xfId="3" applyFont="1" applyFill="1" applyBorder="1" applyAlignment="1">
      <alignment horizontal="left" wrapText="1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22" fillId="3" borderId="5" xfId="3" applyFont="1" applyFill="1" applyBorder="1" applyAlignment="1">
      <alignment horizontal="center" vertical="center"/>
    </xf>
    <xf numFmtId="2" fontId="45" fillId="3" borderId="0" xfId="1" applyNumberFormat="1" applyFont="1" applyFill="1" applyAlignment="1" applyProtection="1">
      <alignment horizontal="center"/>
    </xf>
    <xf numFmtId="0" fontId="29" fillId="3" borderId="0" xfId="3" applyFont="1" applyFill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31" fillId="3" borderId="0" xfId="3" applyFont="1" applyFill="1" applyAlignment="1">
      <alignment horizontal="justify" wrapText="1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31" fillId="3" borderId="5" xfId="3" applyFont="1" applyFill="1" applyBorder="1" applyAlignment="1">
      <alignment horizontal="left" vertical="center"/>
    </xf>
    <xf numFmtId="0" fontId="5" fillId="3" borderId="12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7" fillId="3" borderId="0" xfId="3" applyFont="1" applyFill="1">
      <alignment horizontal="left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0" fontId="6" fillId="3" borderId="0" xfId="3" applyFont="1" applyFill="1" applyBorder="1" applyAlignment="1">
      <alignment horizontal="left"/>
    </xf>
    <xf numFmtId="0" fontId="4" fillId="3" borderId="12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5" fillId="3" borderId="1" xfId="3" applyFont="1" applyFill="1" applyBorder="1" applyAlignment="1">
      <alignment horizontal="center" vertical="center" wrapText="1"/>
    </xf>
    <xf numFmtId="0" fontId="33" fillId="3" borderId="0" xfId="3" applyFont="1" applyFill="1">
      <alignment horizontal="left"/>
    </xf>
    <xf numFmtId="0" fontId="3" fillId="3" borderId="12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2" fontId="21" fillId="3" borderId="0" xfId="0" applyNumberFormat="1" applyFont="1" applyFill="1" applyBorder="1" applyAlignment="1">
      <alignment horizontal="left" vertical="center" wrapText="1"/>
    </xf>
    <xf numFmtId="0" fontId="22" fillId="3" borderId="0" xfId="3" applyFont="1" applyFill="1" applyAlignment="1">
      <alignment horizontal="center" wrapText="1"/>
    </xf>
    <xf numFmtId="0" fontId="33" fillId="3" borderId="15" xfId="3" applyFont="1" applyFill="1" applyBorder="1" applyAlignment="1">
      <alignment horizontal="left"/>
    </xf>
    <xf numFmtId="0" fontId="33" fillId="3" borderId="11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29" fillId="3" borderId="0" xfId="3" applyFont="1" applyFill="1" applyAlignment="1">
      <alignment horizontal="center" vertical="center"/>
    </xf>
    <xf numFmtId="0" fontId="22" fillId="3" borderId="0" xfId="3" applyFont="1" applyFill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2" fontId="31" fillId="3" borderId="3" xfId="3" applyNumberFormat="1" applyFont="1" applyFill="1" applyBorder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0" fontId="5" fillId="3" borderId="0" xfId="3" applyFont="1" applyFill="1" applyBorder="1" applyAlignment="1">
      <alignment horizontal="right"/>
    </xf>
    <xf numFmtId="0" fontId="2" fillId="3" borderId="0" xfId="3" applyFont="1" applyFill="1" applyBorder="1">
      <alignment horizontal="left"/>
    </xf>
    <xf numFmtId="0" fontId="31" fillId="3" borderId="3" xfId="3" applyFont="1" applyFill="1" applyBorder="1" applyAlignment="1">
      <alignment horizontal="left"/>
    </xf>
    <xf numFmtId="0" fontId="7" fillId="3" borderId="0" xfId="3" applyFont="1" applyFill="1" applyAlignment="1">
      <alignment horizontal="left"/>
    </xf>
    <xf numFmtId="0" fontId="4" fillId="3" borderId="7" xfId="3" applyFont="1" applyFill="1" applyBorder="1" applyAlignment="1">
      <alignment horizontal="center" vertical="center"/>
    </xf>
    <xf numFmtId="0" fontId="33" fillId="3" borderId="3" xfId="3" applyFont="1" applyFill="1" applyBorder="1" applyAlignment="1">
      <alignment horizontal="left" vertical="center"/>
    </xf>
    <xf numFmtId="0" fontId="33" fillId="3" borderId="4" xfId="3" applyFont="1" applyFill="1" applyBorder="1" applyAlignment="1">
      <alignment horizontal="left" vertical="center"/>
    </xf>
    <xf numFmtId="0" fontId="33" fillId="3" borderId="5" xfId="3" applyFont="1" applyFill="1" applyBorder="1" applyAlignment="1">
      <alignment horizontal="left" vertical="center"/>
    </xf>
    <xf numFmtId="0" fontId="4" fillId="3" borderId="12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0" fontId="4" fillId="3" borderId="13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4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22" fillId="3" borderId="12" xfId="3" applyFont="1" applyFill="1" applyBorder="1" applyAlignment="1">
      <alignment horizontal="center" vertical="center"/>
    </xf>
    <xf numFmtId="0" fontId="22" fillId="3" borderId="7" xfId="3" applyFont="1" applyFill="1" applyBorder="1" applyAlignment="1">
      <alignment horizontal="center" vertical="center"/>
    </xf>
    <xf numFmtId="0" fontId="22" fillId="3" borderId="9" xfId="3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lgorod@rambler.ru,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blgorod@rambler.ru,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blgorod@rambler.ru,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lgorod@rambler.ru,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3" zoomScaleSheetLayoutView="100" workbookViewId="0">
      <selection activeCell="F57" sqref="F57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97</v>
      </c>
      <c r="B1" s="3" t="s">
        <v>111</v>
      </c>
      <c r="C1" s="19"/>
      <c r="D1" s="15" t="s">
        <v>112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141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142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143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144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145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146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147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148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149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150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151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152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153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154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155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156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157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158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159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160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161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162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163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164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165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166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167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168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107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97</v>
      </c>
      <c r="G31" s="42" t="s">
        <v>121</v>
      </c>
      <c r="H31" s="43" t="s">
        <v>123</v>
      </c>
      <c r="I31" s="43" t="s">
        <v>124</v>
      </c>
      <c r="J31" s="44" t="s">
        <v>125</v>
      </c>
      <c r="M31" s="52"/>
    </row>
    <row r="32" spans="1:15" s="38" customFormat="1" ht="18.75">
      <c r="C32" s="39"/>
      <c r="E32" s="40"/>
      <c r="F32" s="45">
        <v>1</v>
      </c>
      <c r="G32" s="55" t="s">
        <v>101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'Строителей 3'!H65+'Строителей 11'!H60+'Энергетиков 25'!H64+'Энергетиков 27'!H61+'Энергетиков 29'!H59+'Мира 1'!H65+#REF!+#REF!+#REF!+#REF!+#REF!+#REF!+#REF!+#REF!+#REF!+#REF!+#REF!+#REF!+#REF!+#REF!+#REF!+#REF!+#REF!+#REF!+#REF!+#REF!+#REF!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56" t="s">
        <v>134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261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103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130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'Строителей 3'!H52+'Строителей 11'!H47+'Энергетиков 25'!H51+'Энергетиков 27'!H49+'Энергетиков 29'!H46+'Мира 1'!H52+#REF!+#REF!+#REF!+#REF!+#REF!+#REF!+#REF!+#REF!+#REF!+#REF!+#REF!+#REF!+#REF!+#REF!+#REF!+#REF!+#REF!+#REF!+#REF!+#REF!+#REF!+#REF!</f>
        <v>#REF!</v>
      </c>
    </row>
    <row r="37" spans="3:16" s="38" customFormat="1" ht="18.75">
      <c r="C37" s="39"/>
      <c r="E37" s="40"/>
      <c r="F37" s="45">
        <v>6</v>
      </c>
      <c r="G37" s="55" t="s">
        <v>128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262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104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135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136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129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138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105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126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127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106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122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19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50" zoomScale="110" zoomScaleNormal="110" workbookViewId="0">
      <selection activeCell="B51" sqref="B51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97</v>
      </c>
      <c r="G1" s="4" t="s">
        <v>121</v>
      </c>
      <c r="H1" s="3" t="s">
        <v>123</v>
      </c>
      <c r="I1" s="3" t="s">
        <v>124</v>
      </c>
      <c r="J1" s="6" t="s">
        <v>125</v>
      </c>
    </row>
    <row r="2" spans="1:10" ht="15">
      <c r="A2" s="2">
        <v>1</v>
      </c>
      <c r="B2" s="12" t="s">
        <v>158</v>
      </c>
      <c r="C2" s="16">
        <v>3641.1</v>
      </c>
      <c r="F2" s="9">
        <v>1</v>
      </c>
      <c r="G2" s="7" t="s">
        <v>137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165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155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97</v>
      </c>
      <c r="G13" s="4" t="s">
        <v>121</v>
      </c>
      <c r="H13" s="3" t="s">
        <v>123</v>
      </c>
      <c r="I13" s="3" t="s">
        <v>124</v>
      </c>
      <c r="J13" s="6" t="s">
        <v>125</v>
      </c>
    </row>
    <row r="14" spans="1:10" ht="15">
      <c r="B14" s="12" t="s">
        <v>156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206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207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141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142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143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144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145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146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147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148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149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150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151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152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153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154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155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156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157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158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159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160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161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162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163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164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165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166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167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168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view="pageBreakPreview" topLeftCell="A34" zoomScaleSheetLayoutView="100" workbookViewId="0">
      <selection activeCell="G92" sqref="G92"/>
    </sheetView>
  </sheetViews>
  <sheetFormatPr defaultRowHeight="12.75"/>
  <cols>
    <col min="1" max="1" width="12" style="137" customWidth="1"/>
    <col min="2" max="2" width="12.140625" style="137" customWidth="1"/>
    <col min="3" max="3" width="11.28515625" style="137" customWidth="1"/>
    <col min="4" max="4" width="12.5703125" style="137" customWidth="1"/>
    <col min="5" max="5" width="15.28515625" style="137" customWidth="1"/>
    <col min="6" max="6" width="15" style="137" customWidth="1"/>
    <col min="7" max="7" width="21.42578125" style="137" customWidth="1"/>
    <col min="8" max="8" width="14.140625" style="137" customWidth="1"/>
    <col min="9" max="9" width="10.5703125" style="137" customWidth="1"/>
    <col min="10" max="11" width="9.140625" style="137"/>
    <col min="12" max="12" width="0.5703125" style="137" customWidth="1"/>
    <col min="13" max="14" width="9.140625" style="137"/>
    <col min="15" max="15" width="1.42578125" style="137" customWidth="1"/>
    <col min="16" max="16384" width="9.140625" style="137"/>
  </cols>
  <sheetData>
    <row r="1" spans="1:15" ht="18">
      <c r="A1" s="234" t="s">
        <v>231</v>
      </c>
      <c r="B1" s="234"/>
      <c r="C1" s="234"/>
      <c r="D1" s="234"/>
      <c r="E1" s="234"/>
      <c r="F1" s="234"/>
      <c r="G1" s="234"/>
      <c r="H1" s="234"/>
      <c r="I1" s="62"/>
      <c r="J1" s="62"/>
      <c r="K1" s="62"/>
      <c r="L1" s="62"/>
      <c r="M1" s="62"/>
      <c r="N1" s="62"/>
      <c r="O1" s="62"/>
    </row>
    <row r="2" spans="1:15" ht="18">
      <c r="A2" s="234" t="s">
        <v>232</v>
      </c>
      <c r="B2" s="234"/>
      <c r="C2" s="234"/>
      <c r="D2" s="234"/>
      <c r="E2" s="234"/>
      <c r="F2" s="234"/>
      <c r="G2" s="234"/>
      <c r="H2" s="234"/>
      <c r="I2" s="62"/>
      <c r="J2" s="62"/>
      <c r="K2" s="62"/>
      <c r="L2" s="62"/>
      <c r="M2" s="62"/>
      <c r="N2" s="62"/>
      <c r="O2" s="62"/>
    </row>
    <row r="3" spans="1:15" ht="18">
      <c r="A3" s="187" t="s">
        <v>50</v>
      </c>
      <c r="B3" s="187"/>
      <c r="C3" s="187"/>
      <c r="D3" s="187"/>
      <c r="E3" s="187"/>
      <c r="F3" s="187"/>
      <c r="G3" s="187"/>
      <c r="H3" s="187"/>
      <c r="I3" s="63"/>
      <c r="J3" s="63"/>
      <c r="K3" s="63"/>
      <c r="L3" s="63"/>
      <c r="M3" s="63"/>
      <c r="N3" s="63"/>
      <c r="O3" s="63"/>
    </row>
    <row r="4" spans="1:15" ht="18">
      <c r="A4" s="63"/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  <c r="M4" s="64"/>
      <c r="N4" s="64"/>
      <c r="O4" s="64"/>
    </row>
    <row r="5" spans="1:15" s="67" customFormat="1" ht="14.25" customHeight="1">
      <c r="A5" s="65" t="s">
        <v>169</v>
      </c>
      <c r="B5" s="65"/>
      <c r="C5" s="65"/>
      <c r="D5" s="65"/>
      <c r="E5" s="189" t="s">
        <v>51</v>
      </c>
      <c r="F5" s="189"/>
      <c r="G5" s="189"/>
      <c r="H5" s="189"/>
      <c r="I5" s="66"/>
    </row>
    <row r="6" spans="1:15" s="67" customFormat="1" ht="14.25">
      <c r="A6" s="65" t="s">
        <v>92</v>
      </c>
      <c r="B6" s="65"/>
      <c r="C6" s="65"/>
      <c r="D6" s="65"/>
      <c r="E6" s="189"/>
      <c r="F6" s="189"/>
      <c r="G6" s="189"/>
      <c r="H6" s="189"/>
      <c r="I6" s="66"/>
    </row>
    <row r="7" spans="1:15" s="67" customFormat="1" ht="27" customHeight="1">
      <c r="A7" s="65" t="s">
        <v>245</v>
      </c>
      <c r="B7" s="65"/>
      <c r="C7" s="65"/>
      <c r="D7" s="65"/>
      <c r="E7" s="189"/>
      <c r="F7" s="189"/>
      <c r="G7" s="189"/>
      <c r="H7" s="189"/>
      <c r="I7" s="66"/>
    </row>
    <row r="8" spans="1:15" s="67" customFormat="1" ht="14.25">
      <c r="A8" s="65" t="s">
        <v>24</v>
      </c>
      <c r="B8" s="65"/>
      <c r="C8" s="65"/>
      <c r="D8" s="65"/>
      <c r="E8" s="66"/>
      <c r="F8" s="66"/>
      <c r="G8" s="66"/>
      <c r="H8" s="66"/>
      <c r="I8" s="68"/>
    </row>
    <row r="9" spans="1:15" s="67" customFormat="1" ht="14.25">
      <c r="A9" s="65" t="s">
        <v>93</v>
      </c>
      <c r="B9" s="65"/>
      <c r="C9" s="65"/>
      <c r="D9" s="65"/>
      <c r="E9" s="68" t="s">
        <v>208</v>
      </c>
      <c r="F9" s="66"/>
      <c r="G9" s="66"/>
      <c r="H9" s="66"/>
      <c r="I9" s="66"/>
    </row>
    <row r="10" spans="1:15" s="67" customFormat="1" ht="14.25">
      <c r="A10" s="65" t="s">
        <v>118</v>
      </c>
      <c r="B10" s="65"/>
      <c r="C10" s="65"/>
      <c r="D10" s="65"/>
      <c r="F10" s="68"/>
      <c r="G10" s="68"/>
      <c r="H10" s="68"/>
      <c r="I10" s="68"/>
    </row>
    <row r="11" spans="1:15" s="67" customFormat="1" ht="14.25">
      <c r="A11" s="65" t="s">
        <v>170</v>
      </c>
      <c r="B11" s="65"/>
      <c r="C11" s="65"/>
      <c r="D11" s="65"/>
      <c r="E11" s="65" t="s">
        <v>209</v>
      </c>
      <c r="F11" s="65"/>
      <c r="G11" s="65" t="s">
        <v>52</v>
      </c>
      <c r="I11" s="65"/>
    </row>
    <row r="12" spans="1:15" s="67" customFormat="1" ht="14.25">
      <c r="A12" s="65" t="s">
        <v>171</v>
      </c>
      <c r="B12" s="65"/>
      <c r="C12" s="65"/>
      <c r="D12" s="65"/>
      <c r="E12" s="65" t="s">
        <v>210</v>
      </c>
      <c r="F12" s="65"/>
      <c r="G12" s="65" t="s">
        <v>246</v>
      </c>
      <c r="I12" s="65"/>
    </row>
    <row r="13" spans="1:15" s="67" customFormat="1" ht="14.25">
      <c r="A13" s="65" t="s">
        <v>172</v>
      </c>
      <c r="B13" s="65"/>
      <c r="C13" s="65"/>
      <c r="D13" s="65"/>
      <c r="E13" s="65" t="s">
        <v>211</v>
      </c>
      <c r="F13" s="65"/>
      <c r="G13" s="65" t="s">
        <v>22</v>
      </c>
      <c r="I13" s="65"/>
    </row>
    <row r="14" spans="1:15" s="67" customFormat="1" ht="14.25">
      <c r="A14" s="65" t="s">
        <v>173</v>
      </c>
      <c r="B14" s="65"/>
      <c r="C14" s="65"/>
      <c r="D14" s="65"/>
      <c r="E14" s="65" t="s">
        <v>212</v>
      </c>
      <c r="F14" s="65"/>
      <c r="G14" s="65" t="s">
        <v>213</v>
      </c>
      <c r="I14" s="65"/>
    </row>
    <row r="15" spans="1:15" s="67" customFormat="1" ht="14.25">
      <c r="A15" s="65" t="s">
        <v>174</v>
      </c>
      <c r="B15" s="65"/>
      <c r="C15" s="65"/>
      <c r="D15" s="65"/>
      <c r="E15" s="65" t="s">
        <v>214</v>
      </c>
      <c r="F15" s="65"/>
      <c r="G15" s="65" t="s">
        <v>53</v>
      </c>
      <c r="I15" s="65"/>
    </row>
    <row r="16" spans="1:15" s="67" customFormat="1" ht="14.25">
      <c r="A16" s="65"/>
      <c r="B16" s="65"/>
      <c r="C16" s="65"/>
      <c r="D16" s="65"/>
      <c r="E16" s="65"/>
      <c r="F16" s="65"/>
      <c r="G16" s="65"/>
      <c r="H16" s="65"/>
      <c r="I16" s="65"/>
    </row>
    <row r="17" spans="1:15" ht="29.25" customHeight="1">
      <c r="A17" s="178" t="s">
        <v>54</v>
      </c>
      <c r="B17" s="178"/>
      <c r="C17" s="178"/>
      <c r="D17" s="178"/>
      <c r="E17" s="178"/>
      <c r="F17" s="178"/>
      <c r="G17" s="178"/>
      <c r="H17" s="178"/>
      <c r="I17" s="66"/>
      <c r="J17" s="72"/>
      <c r="K17" s="72"/>
      <c r="L17" s="72"/>
      <c r="M17" s="72"/>
      <c r="N17" s="72"/>
      <c r="O17" s="72"/>
    </row>
    <row r="18" spans="1:15" ht="15.75">
      <c r="A18" s="73"/>
      <c r="B18" s="73"/>
      <c r="C18" s="73"/>
      <c r="D18" s="73"/>
      <c r="E18" s="73"/>
      <c r="F18" s="73"/>
      <c r="G18" s="73"/>
      <c r="H18" s="73"/>
      <c r="I18" s="160"/>
      <c r="J18" s="72"/>
      <c r="K18" s="72"/>
      <c r="L18" s="72"/>
      <c r="M18" s="72"/>
      <c r="N18" s="72"/>
      <c r="O18" s="72"/>
    </row>
    <row r="19" spans="1:15" ht="15.75">
      <c r="A19" s="181" t="s">
        <v>55</v>
      </c>
      <c r="B19" s="181"/>
      <c r="C19" s="181"/>
      <c r="D19" s="181"/>
      <c r="E19" s="181"/>
      <c r="F19" s="181"/>
      <c r="G19" s="181"/>
      <c r="H19" s="181"/>
      <c r="I19" s="86"/>
      <c r="J19" s="74"/>
      <c r="K19" s="74"/>
      <c r="L19" s="74"/>
      <c r="M19" s="74"/>
      <c r="N19" s="74"/>
      <c r="O19" s="74"/>
    </row>
    <row r="20" spans="1:15" ht="15.75">
      <c r="A20" s="75"/>
      <c r="B20" s="217"/>
      <c r="C20" s="217"/>
      <c r="D20" s="217"/>
      <c r="E20" s="217"/>
      <c r="F20" s="217"/>
      <c r="G20" s="75"/>
      <c r="H20" s="76" t="s">
        <v>215</v>
      </c>
      <c r="I20" s="142"/>
      <c r="J20" s="72"/>
      <c r="L20" s="72"/>
      <c r="M20" s="72"/>
      <c r="N20" s="77"/>
    </row>
    <row r="21" spans="1:15" s="67" customFormat="1" ht="15" customHeight="1">
      <c r="A21" s="218" t="s">
        <v>216</v>
      </c>
      <c r="B21" s="228"/>
      <c r="C21" s="231" t="s">
        <v>248</v>
      </c>
      <c r="D21" s="231" t="s">
        <v>217</v>
      </c>
      <c r="E21" s="236" t="s">
        <v>9</v>
      </c>
      <c r="F21" s="218" t="s">
        <v>247</v>
      </c>
      <c r="G21" s="202" t="s">
        <v>218</v>
      </c>
      <c r="H21" s="188" t="s">
        <v>219</v>
      </c>
      <c r="I21" s="78"/>
    </row>
    <row r="22" spans="1:15" s="67" customFormat="1" ht="15" customHeight="1">
      <c r="A22" s="219"/>
      <c r="B22" s="229"/>
      <c r="C22" s="232"/>
      <c r="D22" s="232"/>
      <c r="E22" s="237"/>
      <c r="F22" s="219"/>
      <c r="G22" s="203"/>
      <c r="H22" s="188"/>
      <c r="I22" s="78"/>
    </row>
    <row r="23" spans="1:15" s="67" customFormat="1" ht="75" customHeight="1">
      <c r="A23" s="220"/>
      <c r="B23" s="230"/>
      <c r="C23" s="233"/>
      <c r="D23" s="233"/>
      <c r="E23" s="238"/>
      <c r="F23" s="220"/>
      <c r="G23" s="204"/>
      <c r="H23" s="188"/>
      <c r="I23" s="78"/>
    </row>
    <row r="24" spans="1:15" s="169" customFormat="1" ht="14.25">
      <c r="A24" s="239">
        <v>121229</v>
      </c>
      <c r="B24" s="240"/>
      <c r="C24" s="141">
        <v>181434.93</v>
      </c>
      <c r="D24" s="138">
        <v>167375.43</v>
      </c>
      <c r="E24" s="138">
        <v>51166.080000000002</v>
      </c>
      <c r="F24" s="141">
        <f>C24-D24</f>
        <v>14059.5</v>
      </c>
      <c r="G24" s="140">
        <v>187954</v>
      </c>
      <c r="H24" s="141">
        <f>A24+D24+E24-G24</f>
        <v>151816.51</v>
      </c>
      <c r="I24" s="79"/>
    </row>
    <row r="25" spans="1:15" ht="15">
      <c r="A25" s="75"/>
      <c r="B25" s="75"/>
      <c r="C25" s="75"/>
      <c r="D25" s="75"/>
      <c r="E25" s="75"/>
      <c r="F25" s="75"/>
      <c r="G25" s="75"/>
      <c r="H25" s="75"/>
      <c r="I25" s="111"/>
      <c r="J25" s="72"/>
      <c r="K25" s="72"/>
      <c r="L25" s="72"/>
      <c r="M25" s="72"/>
      <c r="N25" s="72"/>
      <c r="O25" s="72"/>
    </row>
    <row r="26" spans="1:15" ht="14.25">
      <c r="A26" s="65" t="s">
        <v>56</v>
      </c>
      <c r="B26" s="65"/>
      <c r="C26" s="65"/>
      <c r="D26" s="65"/>
      <c r="E26" s="65"/>
      <c r="F26" s="65"/>
      <c r="G26" s="84"/>
      <c r="H26" s="84"/>
      <c r="I26" s="125"/>
      <c r="J26" s="67"/>
      <c r="K26" s="67"/>
      <c r="L26" s="67"/>
      <c r="M26" s="67"/>
      <c r="N26" s="67"/>
      <c r="O26" s="67"/>
    </row>
    <row r="27" spans="1:15" ht="14.25">
      <c r="A27" s="65" t="s">
        <v>250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5" ht="15" customHeight="1">
      <c r="A28" s="178" t="s">
        <v>243</v>
      </c>
      <c r="B28" s="178"/>
      <c r="C28" s="178"/>
      <c r="D28" s="178"/>
      <c r="E28" s="178"/>
      <c r="F28" s="178"/>
      <c r="G28" s="178"/>
      <c r="H28" s="66"/>
      <c r="I28" s="66"/>
      <c r="J28" s="66"/>
      <c r="K28" s="66"/>
      <c r="L28" s="66"/>
      <c r="M28" s="66"/>
      <c r="N28" s="66"/>
      <c r="O28" s="66"/>
    </row>
    <row r="29" spans="1:15" ht="14.25">
      <c r="A29" s="65" t="s">
        <v>244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s="142" customFormat="1" ht="15.75">
      <c r="A31" s="177" t="s">
        <v>220</v>
      </c>
      <c r="B31" s="177"/>
      <c r="C31" s="177"/>
      <c r="D31" s="177"/>
      <c r="E31" s="177"/>
      <c r="F31" s="177"/>
      <c r="G31" s="177"/>
      <c r="H31" s="177"/>
      <c r="I31" s="86"/>
    </row>
    <row r="32" spans="1:15" s="142" customFormat="1">
      <c r="A32" s="87"/>
      <c r="B32" s="143"/>
      <c r="C32" s="241"/>
      <c r="D32" s="241"/>
      <c r="E32" s="242"/>
      <c r="F32" s="242"/>
      <c r="G32" s="143"/>
      <c r="H32" s="88" t="s">
        <v>221</v>
      </c>
    </row>
    <row r="33" spans="1:11" s="142" customFormat="1" ht="15.75">
      <c r="A33" s="183" t="s">
        <v>111</v>
      </c>
      <c r="B33" s="184"/>
      <c r="C33" s="211" t="s">
        <v>41</v>
      </c>
      <c r="D33" s="212"/>
      <c r="E33" s="212"/>
      <c r="F33" s="212"/>
      <c r="G33" s="213"/>
      <c r="H33" s="89" t="s">
        <v>222</v>
      </c>
    </row>
    <row r="34" spans="1:11" s="142" customFormat="1" ht="15" customHeight="1">
      <c r="A34" s="216" t="s">
        <v>233</v>
      </c>
      <c r="B34" s="216"/>
      <c r="C34" s="113" t="s">
        <v>249</v>
      </c>
      <c r="D34" s="91"/>
      <c r="E34" s="91"/>
      <c r="F34" s="91"/>
      <c r="G34" s="91"/>
      <c r="H34" s="102">
        <f>9475</f>
        <v>9475</v>
      </c>
    </row>
    <row r="35" spans="1:11" s="142" customFormat="1" ht="15" customHeight="1">
      <c r="A35" s="216"/>
      <c r="B35" s="216"/>
      <c r="C35" s="113" t="s">
        <v>82</v>
      </c>
      <c r="D35" s="91"/>
      <c r="E35" s="91"/>
      <c r="F35" s="91"/>
      <c r="G35" s="91"/>
      <c r="H35" s="102">
        <f>4866</f>
        <v>4866</v>
      </c>
    </row>
    <row r="36" spans="1:11" s="142" customFormat="1" ht="15" customHeight="1">
      <c r="A36" s="216"/>
      <c r="B36" s="216"/>
      <c r="C36" s="113" t="s">
        <v>86</v>
      </c>
      <c r="D36" s="91"/>
      <c r="E36" s="91"/>
      <c r="F36" s="91"/>
      <c r="G36" s="91"/>
      <c r="H36" s="102">
        <f>49313</f>
        <v>49313</v>
      </c>
      <c r="J36" s="148"/>
    </row>
    <row r="37" spans="1:11" s="142" customFormat="1" ht="15" customHeight="1">
      <c r="A37" s="216"/>
      <c r="B37" s="216"/>
      <c r="C37" s="193" t="s">
        <v>31</v>
      </c>
      <c r="D37" s="194"/>
      <c r="E37" s="194"/>
      <c r="F37" s="194"/>
      <c r="G37" s="195"/>
      <c r="H37" s="102">
        <f>48256</f>
        <v>48256</v>
      </c>
    </row>
    <row r="38" spans="1:11" s="142" customFormat="1" ht="15" customHeight="1">
      <c r="A38" s="216"/>
      <c r="B38" s="216"/>
      <c r="C38" s="153" t="s">
        <v>85</v>
      </c>
      <c r="D38" s="91"/>
      <c r="E38" s="91"/>
      <c r="F38" s="91"/>
      <c r="G38" s="91"/>
      <c r="H38" s="102">
        <f>75269+775</f>
        <v>76044</v>
      </c>
    </row>
    <row r="39" spans="1:11" s="142" customFormat="1" ht="15" customHeight="1">
      <c r="A39" s="216"/>
      <c r="B39" s="216"/>
      <c r="C39" s="113"/>
      <c r="D39" s="91"/>
      <c r="E39" s="91"/>
      <c r="F39" s="91"/>
      <c r="G39" s="91"/>
      <c r="H39" s="94">
        <f>SUM(H34:H38)</f>
        <v>187954</v>
      </c>
      <c r="K39" s="144"/>
    </row>
    <row r="40" spans="1:11" s="142" customFormat="1" ht="12.75" customHeight="1">
      <c r="A40" s="216"/>
      <c r="B40" s="216"/>
      <c r="C40" s="183" t="s">
        <v>42</v>
      </c>
      <c r="D40" s="184"/>
      <c r="E40" s="184"/>
      <c r="F40" s="184"/>
      <c r="G40" s="185"/>
      <c r="H40" s="170"/>
    </row>
    <row r="41" spans="1:11" s="142" customFormat="1" ht="12.75" customHeight="1">
      <c r="A41" s="216"/>
      <c r="B41" s="216"/>
      <c r="C41" s="193" t="s">
        <v>31</v>
      </c>
      <c r="D41" s="194"/>
      <c r="E41" s="194"/>
      <c r="F41" s="194"/>
      <c r="G41" s="195"/>
      <c r="H41" s="102">
        <f>22400</f>
        <v>22400</v>
      </c>
    </row>
    <row r="42" spans="1:11" s="142" customFormat="1" ht="12.75" customHeight="1">
      <c r="A42" s="216"/>
      <c r="B42" s="216"/>
      <c r="C42" s="153" t="s">
        <v>83</v>
      </c>
      <c r="D42" s="154"/>
      <c r="E42" s="154"/>
      <c r="F42" s="154"/>
      <c r="G42" s="154"/>
      <c r="H42" s="102">
        <f>4500</f>
        <v>4500</v>
      </c>
    </row>
    <row r="43" spans="1:11" s="142" customFormat="1" ht="12.75" customHeight="1">
      <c r="A43" s="216"/>
      <c r="B43" s="216"/>
      <c r="C43" s="153" t="s">
        <v>85</v>
      </c>
      <c r="D43" s="154"/>
      <c r="E43" s="154"/>
      <c r="F43" s="154"/>
      <c r="G43" s="154"/>
      <c r="H43" s="102">
        <f>49000</f>
        <v>49000</v>
      </c>
    </row>
    <row r="44" spans="1:11" s="142" customFormat="1" ht="12.75" customHeight="1">
      <c r="A44" s="216"/>
      <c r="B44" s="216"/>
      <c r="C44" s="153" t="s">
        <v>33</v>
      </c>
      <c r="D44" s="154"/>
      <c r="E44" s="154"/>
      <c r="F44" s="154"/>
      <c r="G44" s="154"/>
      <c r="H44" s="102">
        <f>1731</f>
        <v>1731</v>
      </c>
    </row>
    <row r="45" spans="1:11" s="142" customFormat="1" ht="12.75" customHeight="1">
      <c r="A45" s="216"/>
      <c r="B45" s="216"/>
      <c r="C45" s="113" t="s">
        <v>249</v>
      </c>
      <c r="D45" s="91"/>
      <c r="E45" s="91"/>
      <c r="F45" s="91"/>
      <c r="G45" s="91"/>
      <c r="H45" s="102">
        <f>37805+20699</f>
        <v>58504</v>
      </c>
    </row>
    <row r="46" spans="1:11">
      <c r="A46" s="95"/>
      <c r="B46" s="95"/>
      <c r="C46" s="95"/>
      <c r="D46" s="95"/>
      <c r="E46" s="96"/>
      <c r="F46" s="96"/>
      <c r="G46" s="96"/>
      <c r="H46" s="96"/>
      <c r="I46" s="96"/>
    </row>
    <row r="47" spans="1:11" ht="42.75" customHeight="1">
      <c r="A47" s="178" t="s">
        <v>60</v>
      </c>
      <c r="B47" s="178"/>
      <c r="C47" s="178"/>
      <c r="D47" s="178"/>
      <c r="E47" s="178"/>
      <c r="F47" s="178"/>
      <c r="G47" s="178"/>
      <c r="H47" s="178"/>
      <c r="I47" s="66"/>
    </row>
    <row r="48" spans="1:11">
      <c r="A48" s="95"/>
      <c r="B48" s="95"/>
      <c r="C48" s="95"/>
      <c r="D48" s="95"/>
      <c r="E48" s="96"/>
      <c r="F48" s="96"/>
      <c r="G48" s="96"/>
      <c r="H48" s="96"/>
      <c r="I48" s="96"/>
    </row>
    <row r="49" spans="1:15" ht="33" customHeight="1">
      <c r="A49" s="179" t="s">
        <v>43</v>
      </c>
      <c r="B49" s="179"/>
      <c r="C49" s="179"/>
      <c r="D49" s="179"/>
      <c r="E49" s="179"/>
      <c r="F49" s="179"/>
      <c r="G49" s="179"/>
      <c r="H49" s="179"/>
      <c r="I49" s="97"/>
      <c r="J49" s="74"/>
      <c r="K49" s="74"/>
      <c r="L49" s="74"/>
      <c r="M49" s="74"/>
      <c r="N49" s="74"/>
      <c r="O49" s="74"/>
    </row>
    <row r="50" spans="1:15" ht="15">
      <c r="A50" s="98"/>
      <c r="B50" s="98"/>
      <c r="C50" s="98"/>
      <c r="D50" s="98"/>
      <c r="E50" s="98"/>
      <c r="F50" s="98"/>
      <c r="G50" s="98"/>
      <c r="H50" s="99" t="s">
        <v>223</v>
      </c>
      <c r="L50" s="98"/>
      <c r="M50" s="98"/>
      <c r="N50" s="98"/>
      <c r="O50" s="98"/>
    </row>
    <row r="51" spans="1:15" ht="15.75">
      <c r="A51" s="209" t="s">
        <v>111</v>
      </c>
      <c r="B51" s="210"/>
      <c r="C51" s="211" t="s">
        <v>41</v>
      </c>
      <c r="D51" s="212"/>
      <c r="E51" s="212"/>
      <c r="F51" s="212"/>
      <c r="G51" s="213"/>
      <c r="H51" s="89" t="s">
        <v>222</v>
      </c>
      <c r="I51" s="98"/>
      <c r="J51" s="98"/>
      <c r="K51" s="98"/>
    </row>
    <row r="52" spans="1:15" ht="15" customHeight="1">
      <c r="A52" s="196" t="s">
        <v>233</v>
      </c>
      <c r="B52" s="197"/>
      <c r="C52" s="91" t="s">
        <v>133</v>
      </c>
      <c r="D52" s="100"/>
      <c r="E52" s="100"/>
      <c r="F52" s="100"/>
      <c r="G52" s="101"/>
      <c r="H52" s="102">
        <f>H73</f>
        <v>13659.087864454696</v>
      </c>
      <c r="I52" s="98"/>
      <c r="J52" s="98"/>
      <c r="K52" s="98"/>
    </row>
    <row r="53" spans="1:15" ht="15" customHeight="1">
      <c r="A53" s="198"/>
      <c r="B53" s="199"/>
      <c r="C53" s="67" t="s">
        <v>30</v>
      </c>
      <c r="D53" s="100"/>
      <c r="E53" s="100"/>
      <c r="F53" s="100"/>
      <c r="G53" s="101"/>
      <c r="H53" s="102">
        <f>692+692</f>
        <v>1384</v>
      </c>
      <c r="I53" s="98"/>
      <c r="J53" s="98"/>
      <c r="K53" s="98"/>
    </row>
    <row r="54" spans="1:15" ht="15" customHeight="1">
      <c r="A54" s="198"/>
      <c r="B54" s="199"/>
      <c r="C54" s="190" t="s">
        <v>37</v>
      </c>
      <c r="D54" s="191"/>
      <c r="E54" s="191"/>
      <c r="F54" s="191"/>
      <c r="G54" s="192"/>
      <c r="H54" s="102">
        <f>1943</f>
        <v>1943</v>
      </c>
      <c r="I54" s="98"/>
      <c r="J54" s="98"/>
      <c r="K54" s="98"/>
    </row>
    <row r="55" spans="1:15" ht="15" customHeight="1">
      <c r="A55" s="198"/>
      <c r="B55" s="199"/>
      <c r="C55" s="183" t="s">
        <v>42</v>
      </c>
      <c r="D55" s="184"/>
      <c r="E55" s="184"/>
      <c r="F55" s="184"/>
      <c r="G55" s="185"/>
      <c r="H55" s="158"/>
      <c r="I55" s="98"/>
      <c r="J55" s="98"/>
      <c r="K55" s="98"/>
    </row>
    <row r="56" spans="1:15" ht="15" customHeight="1">
      <c r="A56" s="200"/>
      <c r="B56" s="201"/>
      <c r="C56" s="214" t="s">
        <v>224</v>
      </c>
      <c r="D56" s="214"/>
      <c r="E56" s="214"/>
      <c r="F56" s="214"/>
      <c r="G56" s="215"/>
      <c r="H56" s="102">
        <v>9688.52</v>
      </c>
      <c r="I56" s="98"/>
      <c r="J56" s="98"/>
      <c r="K56" s="98"/>
    </row>
    <row r="57" spans="1:15">
      <c r="A57" s="95"/>
      <c r="B57" s="95"/>
      <c r="C57" s="95"/>
      <c r="D57" s="95"/>
      <c r="E57" s="96"/>
      <c r="F57" s="96"/>
      <c r="G57" s="96"/>
      <c r="H57" s="96"/>
      <c r="I57" s="96"/>
    </row>
    <row r="58" spans="1:15">
      <c r="A58" s="205" t="s">
        <v>119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5" ht="18" customHeight="1">
      <c r="A59" s="180" t="s">
        <v>47</v>
      </c>
      <c r="B59" s="180"/>
      <c r="C59" s="180"/>
      <c r="D59" s="180"/>
      <c r="E59" s="180"/>
      <c r="F59" s="180"/>
      <c r="G59" s="180"/>
      <c r="H59" s="180"/>
      <c r="I59" s="105"/>
    </row>
    <row r="60" spans="1:15" ht="12" customHeight="1">
      <c r="A60" s="105"/>
      <c r="B60" s="105"/>
      <c r="C60" s="105"/>
      <c r="D60" s="105"/>
      <c r="E60" s="105"/>
      <c r="F60" s="105"/>
      <c r="G60" s="105"/>
      <c r="H60" s="105"/>
      <c r="I60" s="105"/>
    </row>
    <row r="61" spans="1:15" ht="15.75">
      <c r="A61" s="181" t="s">
        <v>108</v>
      </c>
      <c r="B61" s="181"/>
      <c r="C61" s="181"/>
      <c r="D61" s="181"/>
      <c r="E61" s="181"/>
      <c r="F61" s="181"/>
      <c r="G61" s="181"/>
      <c r="H61" s="181"/>
      <c r="I61" s="74"/>
    </row>
    <row r="62" spans="1:15" ht="15.75">
      <c r="A62" s="106"/>
      <c r="B62" s="106"/>
      <c r="C62" s="106"/>
      <c r="D62" s="106"/>
      <c r="E62" s="106"/>
      <c r="F62" s="106"/>
      <c r="G62" s="106"/>
      <c r="H62" s="99" t="s">
        <v>225</v>
      </c>
    </row>
    <row r="63" spans="1:15" ht="15.75">
      <c r="A63" s="223" t="s">
        <v>109</v>
      </c>
      <c r="B63" s="223"/>
      <c r="C63" s="223"/>
      <c r="D63" s="223"/>
      <c r="E63" s="223"/>
      <c r="F63" s="223"/>
      <c r="G63" s="224"/>
      <c r="H63" s="107">
        <f>SUM(H71:H84)+H65+H70</f>
        <v>2018212.0095666405</v>
      </c>
      <c r="I63" s="108"/>
    </row>
    <row r="64" spans="1:15" ht="15">
      <c r="A64" s="109" t="s">
        <v>97</v>
      </c>
      <c r="B64" s="225" t="s">
        <v>98</v>
      </c>
      <c r="C64" s="226"/>
      <c r="D64" s="226"/>
      <c r="E64" s="226"/>
      <c r="F64" s="226"/>
      <c r="G64" s="227"/>
      <c r="H64" s="110" t="s">
        <v>99</v>
      </c>
      <c r="I64" s="111"/>
    </row>
    <row r="65" spans="1:17" ht="15">
      <c r="A65" s="112" t="s">
        <v>100</v>
      </c>
      <c r="B65" s="113" t="s">
        <v>101</v>
      </c>
      <c r="C65" s="91"/>
      <c r="D65" s="91"/>
      <c r="E65" s="91"/>
      <c r="F65" s="91"/>
      <c r="G65" s="91"/>
      <c r="H65" s="94">
        <f>SUM(H66:H69)</f>
        <v>114574.9952329712</v>
      </c>
      <c r="I65" s="104"/>
      <c r="J65" s="104"/>
    </row>
    <row r="66" spans="1:17" ht="15">
      <c r="A66" s="112"/>
      <c r="B66" s="113" t="s">
        <v>251</v>
      </c>
      <c r="C66" s="91"/>
      <c r="D66" s="91"/>
      <c r="E66" s="91"/>
      <c r="F66" s="91"/>
      <c r="G66" s="91"/>
      <c r="H66" s="102">
        <f>5853</f>
        <v>5853</v>
      </c>
      <c r="I66" s="111"/>
      <c r="J66" s="142"/>
    </row>
    <row r="67" spans="1:17" ht="15">
      <c r="A67" s="112"/>
      <c r="B67" s="113" t="s">
        <v>32</v>
      </c>
      <c r="C67" s="91"/>
      <c r="D67" s="91"/>
      <c r="E67" s="91"/>
      <c r="F67" s="91"/>
      <c r="G67" s="91"/>
      <c r="H67" s="150">
        <f>622</f>
        <v>622</v>
      </c>
      <c r="I67" s="75"/>
    </row>
    <row r="68" spans="1:17" ht="15">
      <c r="A68" s="112"/>
      <c r="B68" s="113" t="s">
        <v>14</v>
      </c>
      <c r="C68" s="91"/>
      <c r="D68" s="91"/>
      <c r="E68" s="91"/>
      <c r="F68" s="91"/>
      <c r="G68" s="91"/>
      <c r="H68" s="150">
        <f>748</f>
        <v>748</v>
      </c>
      <c r="I68" s="75"/>
    </row>
    <row r="69" spans="1:17" ht="48.75" customHeight="1">
      <c r="A69" s="112"/>
      <c r="B69" s="206" t="s">
        <v>16</v>
      </c>
      <c r="C69" s="207"/>
      <c r="D69" s="207"/>
      <c r="E69" s="207"/>
      <c r="F69" s="207"/>
      <c r="G69" s="207"/>
      <c r="H69" s="171">
        <f>Основное!$D$2*Основное!I32</f>
        <v>107351.9952329712</v>
      </c>
      <c r="I69" s="75"/>
      <c r="J69" s="168"/>
    </row>
    <row r="70" spans="1:17" ht="15">
      <c r="A70" s="112" t="s">
        <v>102</v>
      </c>
      <c r="B70" s="113" t="s">
        <v>139</v>
      </c>
      <c r="C70" s="91"/>
      <c r="D70" s="91"/>
      <c r="E70" s="91"/>
      <c r="F70" s="91"/>
      <c r="G70" s="91"/>
      <c r="H70" s="102">
        <f>Основное!$D$2*Основное!I33+H35+H38+H37+H36</f>
        <v>185241.78107548901</v>
      </c>
      <c r="I70" s="75"/>
    </row>
    <row r="71" spans="1:17" ht="15">
      <c r="A71" s="112" t="s">
        <v>268</v>
      </c>
      <c r="B71" s="61" t="s">
        <v>267</v>
      </c>
      <c r="C71" s="91"/>
      <c r="D71" s="91"/>
      <c r="E71" s="91"/>
      <c r="F71" s="91"/>
      <c r="G71" s="91"/>
      <c r="H71" s="102">
        <f>Основное!$D$2*Основное!I34</f>
        <v>14450.415085620933</v>
      </c>
      <c r="I71" s="75"/>
    </row>
    <row r="72" spans="1:17" ht="14.25">
      <c r="A72" s="112" t="s">
        <v>269</v>
      </c>
      <c r="B72" s="113" t="s">
        <v>103</v>
      </c>
      <c r="C72" s="91"/>
      <c r="D72" s="91"/>
      <c r="E72" s="91"/>
      <c r="F72" s="91"/>
      <c r="G72" s="91"/>
      <c r="H72" s="102">
        <f>Основное!$D$2*Основное!I35</f>
        <v>76554.793161517955</v>
      </c>
      <c r="I72" s="114"/>
      <c r="J72" s="142"/>
      <c r="K72" s="142"/>
      <c r="L72" s="142"/>
      <c r="M72" s="142"/>
      <c r="N72" s="142"/>
      <c r="O72" s="142"/>
      <c r="P72" s="142"/>
      <c r="Q72" s="142"/>
    </row>
    <row r="73" spans="1:17" ht="14.25">
      <c r="A73" s="112" t="s">
        <v>265</v>
      </c>
      <c r="B73" s="113" t="s">
        <v>266</v>
      </c>
      <c r="C73" s="91"/>
      <c r="D73" s="91"/>
      <c r="E73" s="91"/>
      <c r="F73" s="91"/>
      <c r="G73" s="91"/>
      <c r="H73" s="102">
        <f>Основное!$D$2*Основное!I36</f>
        <v>13659.087864454696</v>
      </c>
      <c r="I73" s="114"/>
      <c r="J73" s="142"/>
      <c r="K73" s="142"/>
      <c r="L73" s="142"/>
      <c r="M73" s="142"/>
      <c r="N73" s="142"/>
      <c r="O73" s="142"/>
      <c r="P73" s="142"/>
      <c r="Q73" s="142"/>
    </row>
    <row r="74" spans="1:17" ht="15">
      <c r="A74" s="112" t="s">
        <v>270</v>
      </c>
      <c r="B74" s="113" t="s">
        <v>263</v>
      </c>
      <c r="C74" s="91"/>
      <c r="D74" s="91"/>
      <c r="E74" s="91"/>
      <c r="F74" s="91"/>
      <c r="G74" s="91"/>
      <c r="H74" s="102">
        <f>Основное!$D$2*Основное!I37</f>
        <v>126065.6271592143</v>
      </c>
      <c r="I74" s="75"/>
    </row>
    <row r="75" spans="1:17" ht="15">
      <c r="A75" s="112" t="s">
        <v>271</v>
      </c>
      <c r="B75" s="113" t="s">
        <v>264</v>
      </c>
      <c r="C75" s="91"/>
      <c r="D75" s="91"/>
      <c r="E75" s="91"/>
      <c r="F75" s="91"/>
      <c r="G75" s="91"/>
      <c r="H75" s="102">
        <f>Основное!$D$2*Основное!I38</f>
        <v>9108.2726767291897</v>
      </c>
      <c r="I75" s="75"/>
    </row>
    <row r="76" spans="1:17" ht="15">
      <c r="A76" s="112" t="s">
        <v>272</v>
      </c>
      <c r="B76" s="113" t="s">
        <v>104</v>
      </c>
      <c r="C76" s="91"/>
      <c r="D76" s="91"/>
      <c r="E76" s="91"/>
      <c r="F76" s="91"/>
      <c r="G76" s="91"/>
      <c r="H76" s="102">
        <f>Основное!$D$2*Основное!I39</f>
        <v>122377.69509944302</v>
      </c>
      <c r="I76" s="75"/>
    </row>
    <row r="77" spans="1:17" ht="15">
      <c r="A77" s="112" t="s">
        <v>273</v>
      </c>
      <c r="B77" s="113" t="s">
        <v>135</v>
      </c>
      <c r="C77" s="91"/>
      <c r="D77" s="91"/>
      <c r="E77" s="91"/>
      <c r="F77" s="91"/>
      <c r="G77" s="91"/>
      <c r="H77" s="102">
        <f>Основное!$D$2*Основное!I40</f>
        <v>293416.32788149687</v>
      </c>
      <c r="I77" s="75"/>
    </row>
    <row r="78" spans="1:17" ht="15">
      <c r="A78" s="112" t="s">
        <v>274</v>
      </c>
      <c r="B78" s="113" t="s">
        <v>140</v>
      </c>
      <c r="C78" s="91"/>
      <c r="D78" s="91"/>
      <c r="E78" s="91"/>
      <c r="F78" s="91"/>
      <c r="G78" s="91"/>
      <c r="H78" s="102">
        <f>Основное!$D$2*Основное!I41</f>
        <v>35036.30022057594</v>
      </c>
      <c r="I78" s="75"/>
    </row>
    <row r="79" spans="1:17" ht="15">
      <c r="A79" s="112" t="s">
        <v>275</v>
      </c>
      <c r="B79" s="113" t="s">
        <v>132</v>
      </c>
      <c r="C79" s="91"/>
      <c r="D79" s="91"/>
      <c r="E79" s="91"/>
      <c r="F79" s="91"/>
      <c r="G79" s="91"/>
      <c r="H79" s="102">
        <f>Основное!$D$2*Основное!I42</f>
        <v>18192.821062804822</v>
      </c>
      <c r="I79" s="75"/>
    </row>
    <row r="80" spans="1:17" ht="15">
      <c r="A80" s="112" t="s">
        <v>276</v>
      </c>
      <c r="B80" s="113" t="s">
        <v>138</v>
      </c>
      <c r="C80" s="91"/>
      <c r="D80" s="91"/>
      <c r="E80" s="91"/>
      <c r="F80" s="91"/>
      <c r="G80" s="91"/>
      <c r="H80" s="102">
        <f>Основное!$D$2*Основное!I43</f>
        <v>6702.775316816842</v>
      </c>
      <c r="I80" s="75"/>
    </row>
    <row r="81" spans="1:15" ht="15">
      <c r="A81" s="112" t="s">
        <v>277</v>
      </c>
      <c r="B81" s="113" t="s">
        <v>105</v>
      </c>
      <c r="C81" s="91"/>
      <c r="D81" s="91"/>
      <c r="E81" s="91"/>
      <c r="F81" s="91"/>
      <c r="G81" s="91"/>
      <c r="H81" s="102">
        <f>Основное!$D$2*Основное!I44</f>
        <v>792091.35859767336</v>
      </c>
      <c r="I81" s="75"/>
    </row>
    <row r="82" spans="1:15" ht="15">
      <c r="A82" s="112" t="s">
        <v>278</v>
      </c>
      <c r="B82" s="113" t="s">
        <v>131</v>
      </c>
      <c r="C82" s="91"/>
      <c r="D82" s="91"/>
      <c r="E82" s="91"/>
      <c r="F82" s="91"/>
      <c r="G82" s="91"/>
      <c r="H82" s="102">
        <f>Основное!$D$2*Основное!I45</f>
        <v>160002.45443673001</v>
      </c>
      <c r="I82" s="75"/>
    </row>
    <row r="83" spans="1:15" ht="15">
      <c r="A83" s="112" t="s">
        <v>279</v>
      </c>
      <c r="B83" s="113" t="s">
        <v>127</v>
      </c>
      <c r="C83" s="91"/>
      <c r="D83" s="91"/>
      <c r="E83" s="91"/>
      <c r="F83" s="91"/>
      <c r="G83" s="91"/>
      <c r="H83" s="102">
        <f>Основное!$D$2*Основное!I46</f>
        <v>23802.591155793682</v>
      </c>
      <c r="I83" s="75"/>
    </row>
    <row r="84" spans="1:15" ht="15">
      <c r="A84" s="112" t="s">
        <v>280</v>
      </c>
      <c r="B84" s="113" t="s">
        <v>44</v>
      </c>
      <c r="C84" s="91"/>
      <c r="D84" s="91"/>
      <c r="E84" s="91"/>
      <c r="F84" s="91"/>
      <c r="G84" s="91"/>
      <c r="H84" s="102">
        <f>Основное!$D$2*Основное!I47</f>
        <v>26934.713539308694</v>
      </c>
      <c r="I84" s="75"/>
    </row>
    <row r="85" spans="1:15">
      <c r="A85" s="116"/>
      <c r="B85" s="116"/>
      <c r="C85" s="116"/>
      <c r="D85" s="116"/>
      <c r="E85" s="116"/>
      <c r="F85" s="116"/>
      <c r="G85" s="116"/>
      <c r="H85" s="117"/>
      <c r="I85" s="114"/>
    </row>
    <row r="86" spans="1:15" s="142" customFormat="1" ht="26.25" customHeight="1">
      <c r="A86" s="182" t="s">
        <v>255</v>
      </c>
      <c r="B86" s="182"/>
      <c r="C86" s="182"/>
      <c r="D86" s="182"/>
      <c r="E86" s="182"/>
      <c r="F86" s="182"/>
      <c r="G86" s="182"/>
      <c r="H86" s="182"/>
      <c r="I86" s="118"/>
      <c r="J86" s="82"/>
    </row>
    <row r="87" spans="1:15" s="142" customFormat="1">
      <c r="A87" s="119"/>
      <c r="B87" s="208"/>
      <c r="C87" s="208"/>
      <c r="D87" s="208"/>
      <c r="E87" s="208"/>
      <c r="F87" s="208"/>
      <c r="G87" s="208"/>
      <c r="H87" s="208"/>
      <c r="I87" s="120"/>
    </row>
    <row r="88" spans="1:15" s="142" customFormat="1" ht="15.75">
      <c r="A88" s="177" t="s">
        <v>254</v>
      </c>
      <c r="B88" s="177"/>
      <c r="C88" s="177"/>
      <c r="D88" s="177"/>
      <c r="E88" s="177"/>
      <c r="F88" s="177"/>
      <c r="G88" s="177"/>
      <c r="I88" s="119"/>
    </row>
    <row r="89" spans="1:15" s="142" customFormat="1" ht="15.75">
      <c r="A89" s="111"/>
      <c r="B89" s="111"/>
      <c r="C89" s="111"/>
      <c r="D89" s="111"/>
      <c r="E89" s="86"/>
      <c r="F89" s="82"/>
      <c r="G89" s="121" t="s">
        <v>226</v>
      </c>
      <c r="H89" s="120"/>
      <c r="I89" s="120"/>
    </row>
    <row r="90" spans="1:15" s="83" customFormat="1" ht="30.75" customHeight="1">
      <c r="A90" s="122" t="s">
        <v>257</v>
      </c>
      <c r="B90" s="122" t="s">
        <v>256</v>
      </c>
      <c r="C90" s="123" t="s">
        <v>227</v>
      </c>
      <c r="D90" s="123" t="s">
        <v>228</v>
      </c>
      <c r="E90" s="124" t="s">
        <v>252</v>
      </c>
      <c r="F90" s="124" t="s">
        <v>253</v>
      </c>
      <c r="G90" s="172" t="s">
        <v>281</v>
      </c>
      <c r="J90" s="125"/>
    </row>
    <row r="91" spans="1:15" s="83" customFormat="1" ht="15">
      <c r="A91" s="141">
        <v>2566.08</v>
      </c>
      <c r="B91" s="145">
        <v>10800</v>
      </c>
      <c r="C91" s="139">
        <v>10800</v>
      </c>
      <c r="D91" s="141">
        <v>12000</v>
      </c>
      <c r="E91" s="139">
        <v>6000</v>
      </c>
      <c r="F91" s="139">
        <v>9000</v>
      </c>
      <c r="G91" s="173">
        <f>SUM(A91:F91)</f>
        <v>51166.080000000002</v>
      </c>
      <c r="H91" s="125"/>
      <c r="I91" s="125"/>
      <c r="J91" s="125"/>
    </row>
    <row r="92" spans="1:15" s="142" customFormat="1" ht="15">
      <c r="A92" s="126"/>
      <c r="B92" s="126"/>
      <c r="C92" s="127"/>
      <c r="D92" s="127"/>
      <c r="E92" s="127"/>
      <c r="F92" s="127"/>
      <c r="G92" s="82"/>
      <c r="H92" s="120"/>
      <c r="I92" s="120"/>
    </row>
    <row r="93" spans="1:15" s="142" customFormat="1" ht="93" customHeight="1">
      <c r="A93" s="221" t="s">
        <v>45</v>
      </c>
      <c r="B93" s="221"/>
      <c r="C93" s="221"/>
      <c r="D93" s="221"/>
      <c r="E93" s="221"/>
      <c r="F93" s="221"/>
      <c r="G93" s="221"/>
      <c r="H93" s="221"/>
      <c r="I93" s="128"/>
      <c r="J93" s="128"/>
      <c r="K93" s="128"/>
      <c r="L93" s="128"/>
    </row>
    <row r="94" spans="1:15" ht="61.5" customHeight="1">
      <c r="A94" s="222" t="s">
        <v>46</v>
      </c>
      <c r="B94" s="222"/>
      <c r="C94" s="222"/>
      <c r="D94" s="222"/>
      <c r="E94" s="222"/>
      <c r="F94" s="222"/>
      <c r="G94" s="222"/>
      <c r="H94" s="222"/>
      <c r="I94" s="129"/>
      <c r="J94" s="129"/>
      <c r="K94" s="129"/>
      <c r="L94" s="129"/>
      <c r="M94" s="129"/>
      <c r="N94" s="129"/>
      <c r="O94" s="129"/>
    </row>
    <row r="95" spans="1:1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1:15" ht="15">
      <c r="A96" s="235" t="s">
        <v>175</v>
      </c>
      <c r="B96" s="235"/>
      <c r="C96" s="235"/>
      <c r="D96" s="235"/>
      <c r="E96" s="235"/>
      <c r="F96" s="235"/>
      <c r="G96" s="235"/>
      <c r="H96" s="235"/>
      <c r="I96" s="131"/>
      <c r="J96" s="132"/>
      <c r="K96" s="132"/>
      <c r="L96" s="132"/>
      <c r="M96" s="132"/>
      <c r="N96" s="132"/>
      <c r="O96" s="132"/>
    </row>
    <row r="97" spans="1:15" ht="15">
      <c r="A97" s="235" t="s">
        <v>234</v>
      </c>
      <c r="B97" s="235"/>
      <c r="C97" s="235"/>
      <c r="D97" s="235"/>
      <c r="E97" s="235"/>
      <c r="F97" s="235"/>
      <c r="G97" s="235"/>
      <c r="H97" s="235"/>
      <c r="I97" s="131"/>
      <c r="J97" s="132"/>
      <c r="K97" s="132"/>
      <c r="L97" s="132"/>
      <c r="M97" s="132"/>
      <c r="N97" s="132"/>
      <c r="O97" s="132"/>
    </row>
    <row r="98" spans="1:15" ht="14.25">
      <c r="A98" s="186" t="s">
        <v>229</v>
      </c>
      <c r="B98" s="186"/>
      <c r="C98" s="186"/>
      <c r="D98" s="186"/>
      <c r="E98" s="186"/>
      <c r="F98" s="186"/>
      <c r="G98" s="186"/>
      <c r="H98" s="186"/>
      <c r="I98" s="146"/>
      <c r="J98" s="146"/>
      <c r="K98" s="146"/>
      <c r="L98" s="146"/>
      <c r="M98" s="146"/>
      <c r="N98" s="146"/>
      <c r="O98" s="146"/>
    </row>
    <row r="99" spans="1:15" ht="15">
      <c r="A99" s="175" t="s">
        <v>235</v>
      </c>
      <c r="B99" s="175"/>
      <c r="C99" s="175"/>
      <c r="D99" s="175"/>
      <c r="E99" s="175"/>
      <c r="F99" s="175"/>
      <c r="G99" s="175"/>
      <c r="H99" s="175"/>
      <c r="I99" s="133"/>
      <c r="J99" s="134"/>
      <c r="K99" s="134"/>
      <c r="L99" s="134"/>
      <c r="M99" s="134"/>
      <c r="N99" s="134"/>
      <c r="O99" s="134"/>
    </row>
    <row r="100" spans="1:15" ht="15">
      <c r="A100" s="176" t="s">
        <v>230</v>
      </c>
      <c r="B100" s="176"/>
      <c r="C100" s="176"/>
      <c r="D100" s="176"/>
      <c r="E100" s="176"/>
      <c r="F100" s="176"/>
      <c r="G100" s="176"/>
      <c r="H100" s="176"/>
      <c r="I100" s="135"/>
      <c r="J100" s="136"/>
      <c r="K100" s="136"/>
      <c r="L100" s="136"/>
      <c r="M100" s="136"/>
      <c r="N100" s="136"/>
      <c r="O100" s="136"/>
    </row>
  </sheetData>
  <mergeCells count="49">
    <mergeCell ref="A1:H1"/>
    <mergeCell ref="A2:H2"/>
    <mergeCell ref="A96:H96"/>
    <mergeCell ref="A97:H97"/>
    <mergeCell ref="E21:E23"/>
    <mergeCell ref="A24:B24"/>
    <mergeCell ref="C21:C23"/>
    <mergeCell ref="C32:D32"/>
    <mergeCell ref="E32:F32"/>
    <mergeCell ref="C33:G33"/>
    <mergeCell ref="B20:F20"/>
    <mergeCell ref="F21:F23"/>
    <mergeCell ref="A33:B33"/>
    <mergeCell ref="A93:H93"/>
    <mergeCell ref="A94:H94"/>
    <mergeCell ref="A63:G63"/>
    <mergeCell ref="B64:G64"/>
    <mergeCell ref="C40:G40"/>
    <mergeCell ref="A21:B23"/>
    <mergeCell ref="D21:D23"/>
    <mergeCell ref="G21:G23"/>
    <mergeCell ref="A58:K58"/>
    <mergeCell ref="A88:G88"/>
    <mergeCell ref="B69:G69"/>
    <mergeCell ref="B87:H87"/>
    <mergeCell ref="A51:B51"/>
    <mergeCell ref="C51:G51"/>
    <mergeCell ref="C56:G56"/>
    <mergeCell ref="A34:B45"/>
    <mergeCell ref="A3:H3"/>
    <mergeCell ref="A17:H17"/>
    <mergeCell ref="A19:H19"/>
    <mergeCell ref="H21:H23"/>
    <mergeCell ref="E5:H7"/>
    <mergeCell ref="C54:G54"/>
    <mergeCell ref="C37:G37"/>
    <mergeCell ref="C41:G41"/>
    <mergeCell ref="A52:B56"/>
    <mergeCell ref="A28:G28"/>
    <mergeCell ref="A99:H99"/>
    <mergeCell ref="A100:H100"/>
    <mergeCell ref="A31:H31"/>
    <mergeCell ref="A47:H47"/>
    <mergeCell ref="A49:H49"/>
    <mergeCell ref="A59:H59"/>
    <mergeCell ref="A61:H61"/>
    <mergeCell ref="A86:H86"/>
    <mergeCell ref="C55:G55"/>
    <mergeCell ref="A98:H98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topLeftCell="A65" zoomScaleSheetLayoutView="100" workbookViewId="0">
      <selection activeCell="F86" sqref="F86"/>
    </sheetView>
  </sheetViews>
  <sheetFormatPr defaultRowHeight="12.75"/>
  <cols>
    <col min="1" max="1" width="12.42578125" style="137" customWidth="1"/>
    <col min="2" max="2" width="12.28515625" style="137" customWidth="1"/>
    <col min="3" max="3" width="13.5703125" style="137" customWidth="1"/>
    <col min="4" max="4" width="13.28515625" style="137" customWidth="1"/>
    <col min="5" max="5" width="17.7109375" style="137" customWidth="1"/>
    <col min="6" max="6" width="14.28515625" style="137" customWidth="1"/>
    <col min="7" max="7" width="17.85546875" style="137" customWidth="1"/>
    <col min="8" max="8" width="14.28515625" style="137" customWidth="1"/>
    <col min="9" max="9" width="7.140625" style="137" customWidth="1"/>
    <col min="10" max="10" width="8.140625" style="137" customWidth="1"/>
    <col min="11" max="12" width="9.140625" style="137"/>
    <col min="13" max="13" width="0.5703125" style="137" customWidth="1"/>
    <col min="14" max="15" width="9.140625" style="137"/>
    <col min="16" max="16" width="1.42578125" style="137" customWidth="1"/>
    <col min="17" max="16384" width="9.140625" style="137"/>
  </cols>
  <sheetData>
    <row r="1" spans="1:16" ht="18">
      <c r="A1" s="234" t="s">
        <v>231</v>
      </c>
      <c r="B1" s="234"/>
      <c r="C1" s="234"/>
      <c r="D1" s="234"/>
      <c r="E1" s="234"/>
      <c r="F1" s="234"/>
      <c r="G1" s="234"/>
      <c r="H1" s="234"/>
      <c r="I1" s="62"/>
      <c r="J1" s="62"/>
      <c r="K1" s="62"/>
      <c r="L1" s="62"/>
      <c r="M1" s="62"/>
      <c r="N1" s="62"/>
      <c r="O1" s="62"/>
    </row>
    <row r="2" spans="1:16" ht="18">
      <c r="A2" s="234" t="s">
        <v>236</v>
      </c>
      <c r="B2" s="234"/>
      <c r="C2" s="234"/>
      <c r="D2" s="234"/>
      <c r="E2" s="234"/>
      <c r="F2" s="234"/>
      <c r="G2" s="234"/>
      <c r="H2" s="234"/>
      <c r="I2" s="62"/>
      <c r="J2" s="62"/>
      <c r="K2" s="62"/>
      <c r="L2" s="62"/>
      <c r="M2" s="62"/>
      <c r="N2" s="62"/>
      <c r="O2" s="62"/>
    </row>
    <row r="3" spans="1:16" ht="18">
      <c r="A3" s="187" t="s">
        <v>50</v>
      </c>
      <c r="B3" s="187"/>
      <c r="C3" s="187"/>
      <c r="D3" s="187"/>
      <c r="E3" s="187"/>
      <c r="F3" s="187"/>
      <c r="G3" s="187"/>
      <c r="H3" s="187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176</v>
      </c>
      <c r="B5" s="65"/>
      <c r="C5" s="65"/>
      <c r="D5" s="65"/>
      <c r="E5" s="189" t="s">
        <v>51</v>
      </c>
      <c r="F5" s="189"/>
      <c r="G5" s="189"/>
      <c r="H5" s="189"/>
      <c r="I5" s="66"/>
      <c r="J5" s="66"/>
    </row>
    <row r="6" spans="1:16" s="67" customFormat="1" ht="14.25">
      <c r="A6" s="65" t="s">
        <v>92</v>
      </c>
      <c r="B6" s="65"/>
      <c r="C6" s="65"/>
      <c r="D6" s="65"/>
      <c r="E6" s="189"/>
      <c r="F6" s="189"/>
      <c r="G6" s="189"/>
      <c r="H6" s="189"/>
      <c r="I6" s="66"/>
      <c r="J6" s="66"/>
    </row>
    <row r="7" spans="1:16" s="67" customFormat="1" ht="27" customHeight="1">
      <c r="A7" s="65" t="s">
        <v>260</v>
      </c>
      <c r="B7" s="65"/>
      <c r="C7" s="65"/>
      <c r="D7" s="65"/>
      <c r="E7" s="189"/>
      <c r="F7" s="189"/>
      <c r="G7" s="189"/>
      <c r="H7" s="189"/>
      <c r="I7" s="66"/>
      <c r="J7" s="66"/>
    </row>
    <row r="8" spans="1:16" s="67" customFormat="1" ht="14.25">
      <c r="A8" s="65" t="s">
        <v>259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93</v>
      </c>
      <c r="B9" s="65"/>
      <c r="C9" s="65"/>
      <c r="D9" s="65"/>
      <c r="E9" s="68" t="s">
        <v>208</v>
      </c>
      <c r="F9" s="66"/>
      <c r="G9" s="66"/>
      <c r="H9" s="66"/>
      <c r="I9" s="66"/>
      <c r="J9" s="66"/>
    </row>
    <row r="10" spans="1:16" s="67" customFormat="1" ht="14.25">
      <c r="A10" s="65" t="s">
        <v>117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177</v>
      </c>
      <c r="B11" s="65"/>
      <c r="C11" s="65"/>
      <c r="D11" s="65"/>
      <c r="E11" s="65" t="s">
        <v>209</v>
      </c>
      <c r="F11" s="65"/>
      <c r="G11" s="65" t="s">
        <v>52</v>
      </c>
      <c r="I11" s="65"/>
      <c r="J11" s="65"/>
    </row>
    <row r="12" spans="1:16" s="67" customFormat="1" ht="14.25">
      <c r="A12" s="65" t="s">
        <v>178</v>
      </c>
      <c r="B12" s="65"/>
      <c r="C12" s="65"/>
      <c r="D12" s="65"/>
      <c r="E12" s="65" t="s">
        <v>63</v>
      </c>
      <c r="F12" s="65"/>
      <c r="G12" s="65" t="s">
        <v>246</v>
      </c>
      <c r="I12" s="65"/>
      <c r="J12" s="65"/>
    </row>
    <row r="13" spans="1:16" s="67" customFormat="1" ht="14.25">
      <c r="A13" s="65" t="s">
        <v>179</v>
      </c>
      <c r="B13" s="65"/>
      <c r="C13" s="65"/>
      <c r="D13" s="65"/>
      <c r="E13" s="65" t="s">
        <v>64</v>
      </c>
      <c r="F13" s="65"/>
      <c r="G13" s="65" t="s">
        <v>22</v>
      </c>
      <c r="I13" s="65"/>
      <c r="J13" s="65"/>
    </row>
    <row r="14" spans="1:16" s="67" customFormat="1" ht="14.25">
      <c r="A14" s="65" t="s">
        <v>180</v>
      </c>
      <c r="B14" s="65"/>
      <c r="C14" s="65"/>
      <c r="D14" s="65"/>
      <c r="E14" s="65" t="s">
        <v>212</v>
      </c>
      <c r="F14" s="65"/>
      <c r="G14" s="65" t="s">
        <v>213</v>
      </c>
      <c r="I14" s="65"/>
      <c r="J14" s="65"/>
    </row>
    <row r="15" spans="1:16" s="67" customFormat="1" ht="14.25">
      <c r="A15" s="65" t="s">
        <v>181</v>
      </c>
      <c r="B15" s="65"/>
      <c r="C15" s="65"/>
      <c r="D15" s="65"/>
      <c r="E15" s="65" t="s">
        <v>214</v>
      </c>
      <c r="F15" s="65"/>
      <c r="G15" s="65" t="s">
        <v>53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78" t="s">
        <v>61</v>
      </c>
      <c r="B17" s="178"/>
      <c r="C17" s="178"/>
      <c r="D17" s="178"/>
      <c r="E17" s="178"/>
      <c r="F17" s="178"/>
      <c r="G17" s="178"/>
      <c r="H17" s="178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1" t="s">
        <v>55</v>
      </c>
      <c r="B19" s="181"/>
      <c r="C19" s="181"/>
      <c r="D19" s="181"/>
      <c r="E19" s="181"/>
      <c r="F19" s="181"/>
      <c r="G19" s="181"/>
      <c r="H19" s="181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17"/>
      <c r="C20" s="217"/>
      <c r="D20" s="217"/>
      <c r="E20" s="217"/>
      <c r="F20" s="217"/>
      <c r="G20" s="75"/>
      <c r="H20" s="76" t="s">
        <v>215</v>
      </c>
      <c r="I20" s="76"/>
      <c r="K20" s="72"/>
      <c r="M20" s="72"/>
      <c r="N20" s="72"/>
      <c r="O20" s="77"/>
    </row>
    <row r="21" spans="1:16" s="67" customFormat="1" ht="15" customHeight="1">
      <c r="A21" s="218" t="s">
        <v>216</v>
      </c>
      <c r="B21" s="228"/>
      <c r="C21" s="231" t="s">
        <v>248</v>
      </c>
      <c r="D21" s="231" t="s">
        <v>217</v>
      </c>
      <c r="E21" s="236" t="s">
        <v>9</v>
      </c>
      <c r="F21" s="218" t="s">
        <v>247</v>
      </c>
      <c r="G21" s="202" t="s">
        <v>218</v>
      </c>
      <c r="H21" s="188" t="s">
        <v>219</v>
      </c>
      <c r="I21" s="78"/>
    </row>
    <row r="22" spans="1:16" s="67" customFormat="1" ht="15" customHeight="1">
      <c r="A22" s="219"/>
      <c r="B22" s="229"/>
      <c r="C22" s="232"/>
      <c r="D22" s="232"/>
      <c r="E22" s="237"/>
      <c r="F22" s="219"/>
      <c r="G22" s="203"/>
      <c r="H22" s="188"/>
      <c r="I22" s="78"/>
    </row>
    <row r="23" spans="1:16" s="67" customFormat="1" ht="75" customHeight="1">
      <c r="A23" s="220"/>
      <c r="B23" s="230"/>
      <c r="C23" s="233"/>
      <c r="D23" s="233"/>
      <c r="E23" s="238"/>
      <c r="F23" s="220"/>
      <c r="G23" s="204"/>
      <c r="H23" s="188"/>
      <c r="I23" s="78"/>
    </row>
    <row r="24" spans="1:16" s="81" customFormat="1" ht="14.25">
      <c r="A24" s="239">
        <v>78373</v>
      </c>
      <c r="B24" s="240"/>
      <c r="C24" s="138">
        <v>41806.290000000008</v>
      </c>
      <c r="D24" s="139">
        <v>41789.910000000003</v>
      </c>
      <c r="E24" s="139">
        <v>16473.239999999998</v>
      </c>
      <c r="F24" s="138">
        <f>C24-D24</f>
        <v>16.380000000004657</v>
      </c>
      <c r="G24" s="140">
        <v>13331</v>
      </c>
      <c r="H24" s="141">
        <f>A24+D24+E24-G24</f>
        <v>123305.15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56</v>
      </c>
      <c r="B26" s="65"/>
      <c r="C26" s="65"/>
      <c r="D26" s="65"/>
      <c r="E26" s="65"/>
      <c r="F26" s="65"/>
      <c r="G26" s="84"/>
      <c r="H26" s="84"/>
      <c r="I26" s="65"/>
      <c r="J26" s="67"/>
      <c r="K26" s="67"/>
      <c r="L26" s="67"/>
      <c r="M26" s="67"/>
      <c r="N26" s="67"/>
      <c r="O26" s="67"/>
    </row>
    <row r="27" spans="1:16" ht="14.25">
      <c r="A27" s="65" t="s">
        <v>250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78" t="s">
        <v>243</v>
      </c>
      <c r="B28" s="178"/>
      <c r="C28" s="178"/>
      <c r="D28" s="178"/>
      <c r="E28" s="178"/>
      <c r="F28" s="178"/>
      <c r="G28" s="178"/>
      <c r="H28" s="178"/>
      <c r="I28" s="178"/>
      <c r="J28" s="178"/>
      <c r="K28" s="66"/>
      <c r="L28" s="66"/>
      <c r="M28" s="66"/>
      <c r="N28" s="66"/>
      <c r="O28" s="66"/>
      <c r="P28" s="66"/>
    </row>
    <row r="29" spans="1:16" ht="14.25">
      <c r="A29" s="65" t="s">
        <v>244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2" customFormat="1" ht="15.75">
      <c r="A31" s="177" t="s">
        <v>220</v>
      </c>
      <c r="B31" s="177"/>
      <c r="C31" s="177"/>
      <c r="D31" s="177"/>
      <c r="E31" s="177"/>
      <c r="F31" s="177"/>
      <c r="G31" s="177"/>
      <c r="H31" s="177"/>
      <c r="I31" s="86"/>
      <c r="J31" s="86"/>
    </row>
    <row r="32" spans="1:16" s="142" customFormat="1">
      <c r="A32" s="87"/>
      <c r="B32" s="143"/>
      <c r="C32" s="241"/>
      <c r="D32" s="241"/>
      <c r="E32" s="242"/>
      <c r="F32" s="242"/>
      <c r="G32" s="143"/>
      <c r="H32" s="88" t="s">
        <v>221</v>
      </c>
      <c r="I32" s="88"/>
    </row>
    <row r="33" spans="1:20" s="142" customFormat="1" ht="15.75">
      <c r="A33" s="183" t="s">
        <v>111</v>
      </c>
      <c r="B33" s="184"/>
      <c r="C33" s="211" t="s">
        <v>41</v>
      </c>
      <c r="D33" s="212"/>
      <c r="E33" s="212"/>
      <c r="F33" s="212"/>
      <c r="G33" s="213"/>
      <c r="H33" s="89" t="s">
        <v>222</v>
      </c>
    </row>
    <row r="34" spans="1:20" s="142" customFormat="1" ht="15" customHeight="1">
      <c r="A34" s="216" t="s">
        <v>233</v>
      </c>
      <c r="B34" s="216"/>
      <c r="C34" s="152" t="s">
        <v>35</v>
      </c>
      <c r="D34" s="100"/>
      <c r="E34" s="100"/>
      <c r="F34" s="100"/>
      <c r="G34" s="100"/>
      <c r="H34" s="102">
        <f>1029</f>
        <v>1029</v>
      </c>
      <c r="N34" s="90"/>
      <c r="O34" s="90"/>
      <c r="P34" s="90"/>
      <c r="Q34" s="90"/>
      <c r="R34" s="90"/>
      <c r="S34" s="90"/>
      <c r="T34" s="90"/>
    </row>
    <row r="35" spans="1:20" s="142" customFormat="1" ht="15" customHeight="1">
      <c r="A35" s="216"/>
      <c r="B35" s="216"/>
      <c r="C35" s="152" t="s">
        <v>59</v>
      </c>
      <c r="D35" s="100"/>
      <c r="E35" s="100"/>
      <c r="F35" s="100"/>
      <c r="G35" s="100"/>
      <c r="H35" s="102">
        <f>12302</f>
        <v>12302</v>
      </c>
      <c r="N35" s="90"/>
      <c r="O35" s="90"/>
      <c r="P35" s="90"/>
      <c r="Q35" s="90"/>
      <c r="R35" s="90"/>
      <c r="S35" s="90"/>
      <c r="T35" s="90"/>
    </row>
    <row r="36" spans="1:20" s="142" customFormat="1" ht="15" customHeight="1">
      <c r="A36" s="216"/>
      <c r="B36" s="216"/>
      <c r="C36" s="165"/>
      <c r="D36" s="166"/>
      <c r="E36" s="166"/>
      <c r="F36" s="166"/>
      <c r="G36" s="166"/>
      <c r="H36" s="94">
        <f>SUM(H34:H35)</f>
        <v>13331</v>
      </c>
      <c r="N36" s="90"/>
      <c r="O36" s="90"/>
      <c r="P36" s="90"/>
      <c r="Q36" s="90"/>
      <c r="R36" s="90"/>
      <c r="S36" s="90"/>
      <c r="T36" s="90"/>
    </row>
    <row r="37" spans="1:20" s="142" customFormat="1" ht="15" customHeight="1">
      <c r="A37" s="216"/>
      <c r="B37" s="216"/>
      <c r="C37" s="211" t="s">
        <v>42</v>
      </c>
      <c r="D37" s="212"/>
      <c r="E37" s="212"/>
      <c r="F37" s="212"/>
      <c r="G37" s="213"/>
      <c r="H37" s="102"/>
      <c r="N37" s="90"/>
      <c r="O37" s="90"/>
      <c r="P37" s="90"/>
      <c r="Q37" s="90"/>
      <c r="R37" s="90"/>
      <c r="S37" s="90"/>
      <c r="T37" s="90"/>
    </row>
    <row r="38" spans="1:20" s="142" customFormat="1" ht="15" customHeight="1">
      <c r="A38" s="216"/>
      <c r="B38" s="216"/>
      <c r="C38" s="153" t="s">
        <v>34</v>
      </c>
      <c r="D38" s="154"/>
      <c r="E38" s="154"/>
      <c r="F38" s="154"/>
      <c r="G38" s="154"/>
      <c r="H38" s="102">
        <f>2122</f>
        <v>2122</v>
      </c>
      <c r="N38" s="90"/>
      <c r="O38" s="90"/>
      <c r="P38" s="90"/>
      <c r="Q38" s="90"/>
      <c r="R38" s="90"/>
      <c r="S38" s="90"/>
      <c r="T38" s="90"/>
    </row>
    <row r="39" spans="1:20" s="142" customFormat="1" ht="15" customHeight="1">
      <c r="A39" s="216"/>
      <c r="B39" s="216"/>
      <c r="C39" s="152" t="s">
        <v>81</v>
      </c>
      <c r="D39" s="100"/>
      <c r="E39" s="100"/>
      <c r="F39" s="100"/>
      <c r="G39" s="100"/>
      <c r="H39" s="102">
        <f>14356</f>
        <v>14356</v>
      </c>
      <c r="N39" s="90"/>
      <c r="O39" s="90"/>
      <c r="P39" s="90"/>
      <c r="Q39" s="90"/>
      <c r="R39" s="90"/>
      <c r="S39" s="90"/>
      <c r="T39" s="90"/>
    </row>
    <row r="40" spans="1:20" s="142" customFormat="1" ht="15">
      <c r="A40" s="216"/>
      <c r="B40" s="216"/>
      <c r="C40" s="152" t="s">
        <v>35</v>
      </c>
      <c r="D40" s="167"/>
      <c r="E40" s="167"/>
      <c r="F40" s="167"/>
      <c r="G40" s="167"/>
      <c r="H40" s="102">
        <f>1048</f>
        <v>1048</v>
      </c>
      <c r="N40" s="90"/>
      <c r="O40" s="90"/>
      <c r="P40" s="90"/>
      <c r="Q40" s="90"/>
      <c r="R40" s="90"/>
      <c r="S40" s="90"/>
      <c r="T40" s="90"/>
    </row>
    <row r="41" spans="1:20">
      <c r="A41" s="95"/>
      <c r="B41" s="95"/>
      <c r="C41" s="95"/>
      <c r="D41" s="95"/>
      <c r="E41" s="96"/>
      <c r="F41" s="96"/>
      <c r="G41" s="96"/>
      <c r="H41" s="96"/>
      <c r="I41" s="96"/>
      <c r="J41" s="96"/>
    </row>
    <row r="42" spans="1:20" ht="42.75" customHeight="1">
      <c r="A42" s="178" t="s">
        <v>62</v>
      </c>
      <c r="B42" s="178"/>
      <c r="C42" s="178"/>
      <c r="D42" s="178"/>
      <c r="E42" s="178"/>
      <c r="F42" s="178"/>
      <c r="G42" s="178"/>
      <c r="H42" s="178"/>
      <c r="I42" s="66"/>
      <c r="J42" s="66"/>
    </row>
    <row r="43" spans="1:20">
      <c r="A43" s="95"/>
      <c r="B43" s="95"/>
      <c r="C43" s="95"/>
      <c r="D43" s="95"/>
      <c r="E43" s="96"/>
      <c r="F43" s="96"/>
      <c r="G43" s="96"/>
      <c r="H43" s="96"/>
      <c r="I43" s="96"/>
      <c r="J43" s="96"/>
    </row>
    <row r="44" spans="1:20" ht="33" customHeight="1">
      <c r="A44" s="179" t="s">
        <v>43</v>
      </c>
      <c r="B44" s="179"/>
      <c r="C44" s="179"/>
      <c r="D44" s="179"/>
      <c r="E44" s="179"/>
      <c r="F44" s="179"/>
      <c r="G44" s="179"/>
      <c r="H44" s="179"/>
      <c r="I44" s="97"/>
      <c r="J44" s="97"/>
      <c r="K44" s="74"/>
      <c r="L44" s="74"/>
      <c r="M44" s="74"/>
      <c r="N44" s="74"/>
      <c r="O44" s="74"/>
      <c r="P44" s="74"/>
    </row>
    <row r="45" spans="1:20" ht="15">
      <c r="A45" s="98"/>
      <c r="B45" s="98"/>
      <c r="C45" s="98"/>
      <c r="D45" s="98"/>
      <c r="E45" s="98"/>
      <c r="F45" s="98"/>
      <c r="G45" s="98"/>
      <c r="H45" s="99" t="s">
        <v>223</v>
      </c>
      <c r="J45" s="98"/>
      <c r="M45" s="98"/>
      <c r="N45" s="98"/>
      <c r="O45" s="98"/>
      <c r="P45" s="98"/>
    </row>
    <row r="46" spans="1:20" ht="15.75">
      <c r="A46" s="211" t="s">
        <v>111</v>
      </c>
      <c r="B46" s="213"/>
      <c r="C46" s="211" t="s">
        <v>41</v>
      </c>
      <c r="D46" s="212"/>
      <c r="E46" s="212"/>
      <c r="F46" s="212"/>
      <c r="G46" s="213"/>
      <c r="H46" s="89" t="s">
        <v>222</v>
      </c>
      <c r="I46" s="98"/>
      <c r="J46" s="98"/>
      <c r="K46" s="98"/>
      <c r="L46" s="98"/>
    </row>
    <row r="47" spans="1:20" ht="15" customHeight="1">
      <c r="A47" s="198" t="s">
        <v>233</v>
      </c>
      <c r="B47" s="199"/>
      <c r="C47" s="113" t="s">
        <v>133</v>
      </c>
      <c r="D47" s="100"/>
      <c r="E47" s="100"/>
      <c r="F47" s="100"/>
      <c r="G47" s="101"/>
      <c r="H47" s="102">
        <f>H67</f>
        <v>3147.3194765275957</v>
      </c>
      <c r="I47" s="98"/>
      <c r="J47" s="98"/>
      <c r="K47" s="98"/>
      <c r="L47" s="98"/>
    </row>
    <row r="48" spans="1:20" ht="15" customHeight="1">
      <c r="A48" s="198"/>
      <c r="B48" s="199"/>
      <c r="C48" s="67" t="s">
        <v>39</v>
      </c>
      <c r="D48" s="100"/>
      <c r="E48" s="100"/>
      <c r="F48" s="100"/>
      <c r="G48" s="101"/>
      <c r="H48" s="102">
        <f>650+650</f>
        <v>1300</v>
      </c>
      <c r="I48" s="98"/>
      <c r="J48" s="98"/>
      <c r="K48" s="98"/>
      <c r="L48" s="98"/>
    </row>
    <row r="49" spans="1:12" ht="15" customHeight="1">
      <c r="A49" s="198"/>
      <c r="B49" s="199"/>
      <c r="C49" s="190" t="s">
        <v>37</v>
      </c>
      <c r="D49" s="191"/>
      <c r="E49" s="191"/>
      <c r="F49" s="191"/>
      <c r="G49" s="192"/>
      <c r="H49" s="102">
        <f>1009</f>
        <v>1009</v>
      </c>
      <c r="I49" s="98"/>
      <c r="J49" s="98"/>
      <c r="K49" s="98"/>
      <c r="L49" s="98"/>
    </row>
    <row r="50" spans="1:12" ht="15.75">
      <c r="A50" s="198"/>
      <c r="B50" s="199"/>
      <c r="C50" s="211" t="s">
        <v>42</v>
      </c>
      <c r="D50" s="212"/>
      <c r="E50" s="212"/>
      <c r="F50" s="212"/>
      <c r="G50" s="213"/>
      <c r="H50" s="158"/>
      <c r="I50" s="98"/>
      <c r="J50" s="98"/>
      <c r="K50" s="98"/>
      <c r="L50" s="98"/>
    </row>
    <row r="51" spans="1:12" ht="15">
      <c r="A51" s="200"/>
      <c r="B51" s="201"/>
      <c r="C51" s="243" t="s">
        <v>224</v>
      </c>
      <c r="D51" s="214"/>
      <c r="E51" s="214"/>
      <c r="F51" s="214"/>
      <c r="G51" s="215"/>
      <c r="H51" s="102">
        <v>3835.38</v>
      </c>
      <c r="I51" s="98"/>
      <c r="J51" s="98"/>
      <c r="K51" s="98"/>
      <c r="L51" s="98"/>
    </row>
    <row r="52" spans="1:12">
      <c r="A52" s="95"/>
      <c r="B52" s="95"/>
      <c r="C52" s="95"/>
      <c r="D52" s="95"/>
      <c r="E52" s="96"/>
      <c r="F52" s="96"/>
      <c r="G52" s="96"/>
      <c r="H52" s="96"/>
      <c r="I52" s="96"/>
      <c r="J52" s="96"/>
    </row>
    <row r="53" spans="1:12">
      <c r="A53" s="90" t="s">
        <v>182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8" customHeight="1">
      <c r="A54" s="180" t="s">
        <v>110</v>
      </c>
      <c r="B54" s="180"/>
      <c r="C54" s="180"/>
      <c r="D54" s="180"/>
      <c r="E54" s="180"/>
      <c r="F54" s="180"/>
      <c r="G54" s="180"/>
      <c r="H54" s="180"/>
      <c r="I54" s="105"/>
      <c r="J54" s="105"/>
    </row>
    <row r="55" spans="1:12" ht="12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2" ht="15.75">
      <c r="A56" s="181" t="s">
        <v>108</v>
      </c>
      <c r="B56" s="181"/>
      <c r="C56" s="181"/>
      <c r="D56" s="181"/>
      <c r="E56" s="181"/>
      <c r="F56" s="181"/>
      <c r="G56" s="181"/>
      <c r="H56" s="181"/>
      <c r="I56" s="74"/>
      <c r="J56" s="74"/>
    </row>
    <row r="57" spans="1:12" ht="15.75">
      <c r="A57" s="106"/>
      <c r="B57" s="106"/>
      <c r="C57" s="106"/>
      <c r="D57" s="106"/>
      <c r="E57" s="106"/>
      <c r="F57" s="106"/>
      <c r="G57" s="106"/>
      <c r="H57" s="99" t="s">
        <v>225</v>
      </c>
      <c r="J57" s="106"/>
    </row>
    <row r="58" spans="1:12" ht="15.75">
      <c r="A58" s="223" t="s">
        <v>109</v>
      </c>
      <c r="B58" s="223"/>
      <c r="C58" s="223"/>
      <c r="D58" s="223"/>
      <c r="E58" s="223"/>
      <c r="F58" s="223"/>
      <c r="G58" s="224"/>
      <c r="H58" s="107">
        <f>SUM(H65:H78)+H60+H64</f>
        <v>435035.94359991787</v>
      </c>
      <c r="I58" s="108"/>
      <c r="J58" s="108"/>
    </row>
    <row r="59" spans="1:12" ht="15">
      <c r="A59" s="109" t="s">
        <v>97</v>
      </c>
      <c r="B59" s="225" t="s">
        <v>98</v>
      </c>
      <c r="C59" s="226"/>
      <c r="D59" s="226"/>
      <c r="E59" s="226"/>
      <c r="F59" s="226"/>
      <c r="G59" s="227"/>
      <c r="H59" s="110" t="s">
        <v>99</v>
      </c>
      <c r="I59" s="111"/>
    </row>
    <row r="60" spans="1:12" ht="15">
      <c r="A60" s="112" t="s">
        <v>100</v>
      </c>
      <c r="B60" s="113" t="s">
        <v>101</v>
      </c>
      <c r="C60" s="91"/>
      <c r="D60" s="91"/>
      <c r="E60" s="91"/>
      <c r="F60" s="91"/>
      <c r="G60" s="91"/>
      <c r="H60" s="94">
        <f>SUM(H62:H63)</f>
        <v>25223.987409530913</v>
      </c>
      <c r="I60" s="104"/>
      <c r="J60" s="104"/>
    </row>
    <row r="61" spans="1:12" ht="14.25">
      <c r="A61" s="112"/>
      <c r="B61" s="113" t="s">
        <v>0</v>
      </c>
      <c r="C61" s="91"/>
      <c r="D61" s="91"/>
      <c r="E61" s="91"/>
      <c r="F61" s="91"/>
      <c r="G61" s="91"/>
      <c r="H61" s="102">
        <f>443</f>
        <v>443</v>
      </c>
      <c r="I61" s="104"/>
      <c r="J61" s="104"/>
    </row>
    <row r="62" spans="1:12" ht="15">
      <c r="A62" s="112"/>
      <c r="B62" s="113" t="s">
        <v>14</v>
      </c>
      <c r="C62" s="91"/>
      <c r="D62" s="91"/>
      <c r="E62" s="91"/>
      <c r="F62" s="91"/>
      <c r="G62" s="91"/>
      <c r="H62" s="102">
        <f>488</f>
        <v>488</v>
      </c>
      <c r="I62" s="75"/>
    </row>
    <row r="63" spans="1:12" ht="47.25" customHeight="1">
      <c r="A63" s="112"/>
      <c r="B63" s="206" t="s">
        <v>15</v>
      </c>
      <c r="C63" s="207"/>
      <c r="D63" s="207"/>
      <c r="E63" s="207"/>
      <c r="F63" s="207"/>
      <c r="G63" s="207"/>
      <c r="H63" s="102">
        <f>Основное!$D$3*Основное!I32</f>
        <v>24735.987409530913</v>
      </c>
      <c r="I63" s="75"/>
      <c r="J63" s="168"/>
    </row>
    <row r="64" spans="1:12" ht="15">
      <c r="A64" s="112" t="s">
        <v>102</v>
      </c>
      <c r="B64" s="113" t="s">
        <v>139</v>
      </c>
      <c r="C64" s="91"/>
      <c r="D64" s="91"/>
      <c r="E64" s="91"/>
      <c r="F64" s="91"/>
      <c r="G64" s="91"/>
      <c r="H64" s="102">
        <f>Основное!$D$3*Основное!I33+H35</f>
        <v>13860.27627771311</v>
      </c>
      <c r="I64" s="75"/>
    </row>
    <row r="65" spans="1:18" ht="15">
      <c r="A65" s="112" t="s">
        <v>268</v>
      </c>
      <c r="B65" s="61" t="s">
        <v>267</v>
      </c>
      <c r="C65" s="91"/>
      <c r="D65" s="91"/>
      <c r="E65" s="91"/>
      <c r="F65" s="91"/>
      <c r="G65" s="91"/>
      <c r="H65" s="102">
        <f>Основное!$D$3*Основное!I34</f>
        <v>3329.6566574724661</v>
      </c>
      <c r="I65" s="75"/>
    </row>
    <row r="66" spans="1:18" ht="14.25">
      <c r="A66" s="112" t="s">
        <v>269</v>
      </c>
      <c r="B66" s="113" t="s">
        <v>103</v>
      </c>
      <c r="C66" s="91"/>
      <c r="D66" s="91"/>
      <c r="E66" s="91"/>
      <c r="F66" s="91"/>
      <c r="G66" s="91"/>
      <c r="H66" s="102">
        <f>Основное!$D$3*Основное!I35</f>
        <v>17639.71312943934</v>
      </c>
      <c r="I66" s="114"/>
      <c r="J66" s="114"/>
      <c r="K66" s="142"/>
      <c r="L66" s="142"/>
      <c r="M66" s="142"/>
      <c r="N66" s="142"/>
      <c r="O66" s="142"/>
      <c r="P66" s="142"/>
      <c r="Q66" s="142"/>
      <c r="R66" s="142"/>
    </row>
    <row r="67" spans="1:18" ht="14.25">
      <c r="A67" s="112" t="s">
        <v>265</v>
      </c>
      <c r="B67" s="113" t="s">
        <v>266</v>
      </c>
      <c r="C67" s="91"/>
      <c r="D67" s="91"/>
      <c r="E67" s="91"/>
      <c r="F67" s="91"/>
      <c r="G67" s="91"/>
      <c r="H67" s="102">
        <f>Основное!$D$3*Основное!I36</f>
        <v>3147.3194765275957</v>
      </c>
      <c r="I67" s="114"/>
      <c r="J67" s="114"/>
      <c r="K67" s="142"/>
      <c r="L67" s="142"/>
      <c r="M67" s="142"/>
      <c r="N67" s="142"/>
      <c r="O67" s="142"/>
      <c r="P67" s="142"/>
      <c r="Q67" s="142"/>
      <c r="R67" s="142"/>
    </row>
    <row r="68" spans="1:18" ht="15">
      <c r="A68" s="112" t="s">
        <v>270</v>
      </c>
      <c r="B68" s="113" t="s">
        <v>263</v>
      </c>
      <c r="C68" s="91"/>
      <c r="D68" s="91"/>
      <c r="E68" s="91"/>
      <c r="F68" s="91"/>
      <c r="G68" s="91"/>
      <c r="H68" s="102">
        <f>Основное!$D$3*Основное!I37</f>
        <v>29047.97213519509</v>
      </c>
      <c r="I68" s="75"/>
    </row>
    <row r="69" spans="1:18" ht="15">
      <c r="A69" s="112" t="s">
        <v>271</v>
      </c>
      <c r="B69" s="113" t="s">
        <v>264</v>
      </c>
      <c r="C69" s="91"/>
      <c r="D69" s="91"/>
      <c r="E69" s="91"/>
      <c r="F69" s="91"/>
      <c r="G69" s="91"/>
      <c r="H69" s="102">
        <f>Основное!$D$3*Основное!I38</f>
        <v>2098.7231561481985</v>
      </c>
      <c r="I69" s="75"/>
    </row>
    <row r="70" spans="1:18" ht="15">
      <c r="A70" s="112" t="s">
        <v>272</v>
      </c>
      <c r="B70" s="113" t="s">
        <v>104</v>
      </c>
      <c r="C70" s="91"/>
      <c r="D70" s="91"/>
      <c r="E70" s="91"/>
      <c r="F70" s="91"/>
      <c r="G70" s="91"/>
      <c r="H70" s="102">
        <f>Основное!$D$3*Основное!I39</f>
        <v>28198.200868254633</v>
      </c>
      <c r="I70" s="75"/>
    </row>
    <row r="71" spans="1:18" ht="15">
      <c r="A71" s="112" t="s">
        <v>273</v>
      </c>
      <c r="B71" s="113" t="s">
        <v>135</v>
      </c>
      <c r="C71" s="91"/>
      <c r="D71" s="91"/>
      <c r="E71" s="91"/>
      <c r="F71" s="91"/>
      <c r="G71" s="91"/>
      <c r="H71" s="102">
        <f>Основное!$D$3*Основное!I40</f>
        <v>67608.828103069638</v>
      </c>
      <c r="I71" s="75"/>
    </row>
    <row r="72" spans="1:18" ht="15">
      <c r="A72" s="112" t="s">
        <v>274</v>
      </c>
      <c r="B72" s="113" t="s">
        <v>140</v>
      </c>
      <c r="C72" s="91"/>
      <c r="D72" s="91"/>
      <c r="E72" s="91"/>
      <c r="F72" s="91"/>
      <c r="G72" s="91"/>
      <c r="H72" s="102">
        <f>Основное!$D$3*Основное!I41</f>
        <v>8073.0449327180613</v>
      </c>
      <c r="I72" s="75"/>
    </row>
    <row r="73" spans="1:18" ht="15">
      <c r="A73" s="112" t="s">
        <v>275</v>
      </c>
      <c r="B73" s="113" t="s">
        <v>132</v>
      </c>
      <c r="C73" s="91"/>
      <c r="D73" s="91"/>
      <c r="E73" s="91"/>
      <c r="F73" s="91"/>
      <c r="G73" s="91"/>
      <c r="H73" s="102">
        <f>Основное!$D$3*Основное!I42</f>
        <v>4191.9797743561103</v>
      </c>
      <c r="I73" s="75"/>
    </row>
    <row r="74" spans="1:18" ht="15">
      <c r="A74" s="112" t="s">
        <v>276</v>
      </c>
      <c r="B74" s="113" t="s">
        <v>138</v>
      </c>
      <c r="C74" s="91"/>
      <c r="D74" s="91"/>
      <c r="E74" s="91"/>
      <c r="F74" s="91"/>
      <c r="G74" s="91"/>
      <c r="H74" s="102">
        <f>Основное!$D$3*Основное!I43</f>
        <v>1544.4497839642727</v>
      </c>
      <c r="I74" s="75"/>
    </row>
    <row r="75" spans="1:18" ht="15">
      <c r="A75" s="112" t="s">
        <v>277</v>
      </c>
      <c r="B75" s="113" t="s">
        <v>105</v>
      </c>
      <c r="C75" s="91"/>
      <c r="D75" s="91"/>
      <c r="E75" s="91"/>
      <c r="F75" s="91"/>
      <c r="G75" s="91"/>
      <c r="H75" s="102">
        <f>Основное!$D$3*Основное!I44</f>
        <v>182513.25306949308</v>
      </c>
      <c r="I75" s="75"/>
    </row>
    <row r="76" spans="1:18" ht="15">
      <c r="A76" s="112" t="s">
        <v>278</v>
      </c>
      <c r="B76" s="113" t="s">
        <v>131</v>
      </c>
      <c r="C76" s="91"/>
      <c r="D76" s="91"/>
      <c r="E76" s="91"/>
      <c r="F76" s="91"/>
      <c r="G76" s="91"/>
      <c r="H76" s="102">
        <f>Основное!$D$3*Основное!I45</f>
        <v>36867.677120037595</v>
      </c>
      <c r="I76" s="75"/>
    </row>
    <row r="77" spans="1:18" ht="15">
      <c r="A77" s="112" t="s">
        <v>279</v>
      </c>
      <c r="B77" s="113" t="s">
        <v>127</v>
      </c>
      <c r="C77" s="91"/>
      <c r="D77" s="91"/>
      <c r="E77" s="91"/>
      <c r="F77" s="91"/>
      <c r="G77" s="91"/>
      <c r="H77" s="102">
        <f>Основное!$D$3*Основное!I46</f>
        <v>5484.5798987356993</v>
      </c>
      <c r="I77" s="75"/>
    </row>
    <row r="78" spans="1:18" ht="15">
      <c r="A78" s="112" t="s">
        <v>280</v>
      </c>
      <c r="B78" s="113" t="s">
        <v>44</v>
      </c>
      <c r="C78" s="91"/>
      <c r="D78" s="91"/>
      <c r="E78" s="91"/>
      <c r="F78" s="91"/>
      <c r="G78" s="91"/>
      <c r="H78" s="102">
        <f>Основное!$D$3*Основное!I47</f>
        <v>6206.2818072619584</v>
      </c>
      <c r="I78" s="75"/>
    </row>
    <row r="79" spans="1:18">
      <c r="A79" s="116"/>
      <c r="B79" s="116"/>
      <c r="C79" s="116"/>
      <c r="D79" s="116"/>
      <c r="E79" s="116"/>
      <c r="F79" s="116"/>
      <c r="G79" s="116"/>
      <c r="H79" s="117"/>
      <c r="I79" s="114"/>
      <c r="J79" s="114"/>
    </row>
    <row r="80" spans="1:18" s="142" customFormat="1" ht="26.25" customHeight="1">
      <c r="A80" s="182" t="s">
        <v>3</v>
      </c>
      <c r="B80" s="182"/>
      <c r="C80" s="182"/>
      <c r="D80" s="182"/>
      <c r="E80" s="182"/>
      <c r="F80" s="182"/>
      <c r="G80" s="182"/>
      <c r="H80" s="182"/>
      <c r="I80" s="118"/>
      <c r="J80" s="118"/>
      <c r="K80" s="82"/>
    </row>
    <row r="81" spans="1:15" s="142" customFormat="1">
      <c r="A81" s="119"/>
      <c r="B81" s="208"/>
      <c r="C81" s="208"/>
      <c r="D81" s="208"/>
      <c r="E81" s="208"/>
      <c r="F81" s="208"/>
      <c r="G81" s="208"/>
      <c r="H81" s="208"/>
      <c r="I81" s="120"/>
      <c r="J81" s="120"/>
    </row>
    <row r="82" spans="1:15" s="142" customFormat="1" ht="15.75">
      <c r="A82" s="177" t="s">
        <v>254</v>
      </c>
      <c r="B82" s="177"/>
      <c r="C82" s="177"/>
      <c r="D82" s="177"/>
      <c r="E82" s="177"/>
      <c r="F82" s="177"/>
      <c r="G82" s="119"/>
      <c r="I82" s="119"/>
    </row>
    <row r="83" spans="1:15" s="142" customFormat="1" ht="15.75">
      <c r="A83" s="111"/>
      <c r="B83" s="111"/>
      <c r="C83" s="111"/>
      <c r="D83" s="111"/>
      <c r="E83" s="86"/>
      <c r="F83" s="121" t="s">
        <v>226</v>
      </c>
      <c r="H83" s="120"/>
      <c r="I83" s="120"/>
    </row>
    <row r="84" spans="1:15" s="142" customFormat="1" ht="29.25" customHeight="1">
      <c r="A84" s="122" t="s">
        <v>257</v>
      </c>
      <c r="B84" s="123" t="s">
        <v>227</v>
      </c>
      <c r="C84" s="123" t="s">
        <v>228</v>
      </c>
      <c r="D84" s="124" t="s">
        <v>252</v>
      </c>
      <c r="E84" s="124" t="s">
        <v>253</v>
      </c>
      <c r="F84" s="172" t="s">
        <v>281</v>
      </c>
      <c r="I84" s="120"/>
    </row>
    <row r="85" spans="1:15" s="83" customFormat="1" ht="15">
      <c r="A85" s="141">
        <v>513.24</v>
      </c>
      <c r="B85" s="139">
        <v>2160</v>
      </c>
      <c r="C85" s="141">
        <v>6000</v>
      </c>
      <c r="D85" s="139">
        <v>6000</v>
      </c>
      <c r="E85" s="139">
        <v>1800</v>
      </c>
      <c r="F85" s="173">
        <f>SUM(A85:E85)</f>
        <v>16473.239999999998</v>
      </c>
      <c r="G85" s="125"/>
      <c r="H85" s="125"/>
      <c r="I85" s="125"/>
    </row>
    <row r="86" spans="1:15" s="142" customFormat="1" ht="15">
      <c r="A86" s="126"/>
      <c r="B86" s="126"/>
      <c r="C86" s="127"/>
      <c r="D86" s="127"/>
      <c r="E86" s="127"/>
      <c r="F86" s="127"/>
      <c r="G86" s="82"/>
      <c r="H86" s="120"/>
      <c r="I86" s="120"/>
      <c r="J86" s="120"/>
    </row>
    <row r="87" spans="1:15" s="142" customFormat="1" ht="92.25" customHeight="1">
      <c r="A87" s="221" t="s">
        <v>45</v>
      </c>
      <c r="B87" s="221"/>
      <c r="C87" s="221"/>
      <c r="D87" s="221"/>
      <c r="E87" s="221"/>
      <c r="F87" s="221"/>
      <c r="G87" s="221"/>
      <c r="H87" s="221"/>
      <c r="I87" s="128"/>
      <c r="J87" s="128"/>
      <c r="K87" s="128"/>
      <c r="L87" s="128"/>
    </row>
    <row r="88" spans="1:15" ht="62.25" customHeight="1">
      <c r="A88" s="222" t="s">
        <v>46</v>
      </c>
      <c r="B88" s="222"/>
      <c r="C88" s="222"/>
      <c r="D88" s="222"/>
      <c r="E88" s="222"/>
      <c r="F88" s="222"/>
      <c r="G88" s="222"/>
      <c r="H88" s="222"/>
      <c r="I88" s="129"/>
      <c r="J88" s="129"/>
      <c r="K88" s="129"/>
      <c r="L88" s="129"/>
      <c r="M88" s="129"/>
      <c r="N88" s="129"/>
      <c r="O88" s="129"/>
    </row>
    <row r="89" spans="1:1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</row>
    <row r="90" spans="1:15" ht="15">
      <c r="A90" s="235" t="s">
        <v>175</v>
      </c>
      <c r="B90" s="235"/>
      <c r="C90" s="235"/>
      <c r="D90" s="235"/>
      <c r="E90" s="235"/>
      <c r="F90" s="235"/>
      <c r="G90" s="235"/>
      <c r="H90" s="235"/>
      <c r="I90" s="131"/>
      <c r="J90" s="132"/>
      <c r="K90" s="132"/>
      <c r="L90" s="132"/>
      <c r="M90" s="132"/>
      <c r="N90" s="132"/>
      <c r="O90" s="132"/>
    </row>
    <row r="91" spans="1:15" ht="15">
      <c r="A91" s="235" t="s">
        <v>234</v>
      </c>
      <c r="B91" s="235"/>
      <c r="C91" s="235"/>
      <c r="D91" s="235"/>
      <c r="E91" s="235"/>
      <c r="F91" s="235"/>
      <c r="G91" s="235"/>
      <c r="H91" s="235"/>
      <c r="I91" s="131"/>
      <c r="J91" s="132"/>
      <c r="K91" s="132"/>
      <c r="L91" s="132"/>
      <c r="M91" s="132"/>
      <c r="N91" s="132"/>
      <c r="O91" s="132"/>
    </row>
    <row r="92" spans="1:15" ht="14.25">
      <c r="A92" s="186" t="s">
        <v>229</v>
      </c>
      <c r="B92" s="186"/>
      <c r="C92" s="186"/>
      <c r="D92" s="186"/>
      <c r="E92" s="186"/>
      <c r="F92" s="186"/>
      <c r="G92" s="186"/>
      <c r="H92" s="186"/>
      <c r="I92" s="146"/>
      <c r="J92" s="146"/>
      <c r="K92" s="146"/>
      <c r="L92" s="146"/>
      <c r="M92" s="146"/>
      <c r="N92" s="146"/>
      <c r="O92" s="146"/>
    </row>
    <row r="93" spans="1:15" ht="15">
      <c r="A93" s="175" t="s">
        <v>235</v>
      </c>
      <c r="B93" s="175"/>
      <c r="C93" s="175"/>
      <c r="D93" s="175"/>
      <c r="E93" s="175"/>
      <c r="F93" s="175"/>
      <c r="G93" s="175"/>
      <c r="H93" s="175"/>
      <c r="I93" s="133"/>
      <c r="J93" s="134"/>
      <c r="K93" s="134"/>
      <c r="L93" s="134"/>
      <c r="M93" s="134"/>
      <c r="N93" s="134"/>
      <c r="O93" s="134"/>
    </row>
    <row r="94" spans="1:15" ht="15">
      <c r="A94" s="176" t="s">
        <v>230</v>
      </c>
      <c r="B94" s="176"/>
      <c r="C94" s="176"/>
      <c r="D94" s="176"/>
      <c r="E94" s="176"/>
      <c r="F94" s="176"/>
      <c r="G94" s="176"/>
      <c r="H94" s="176"/>
      <c r="I94" s="135"/>
      <c r="J94" s="136"/>
      <c r="K94" s="136"/>
      <c r="L94" s="136"/>
      <c r="M94" s="136"/>
      <c r="N94" s="136"/>
      <c r="O94" s="136"/>
    </row>
  </sheetData>
  <mergeCells count="46">
    <mergeCell ref="A31:H31"/>
    <mergeCell ref="A24:B24"/>
    <mergeCell ref="C50:G50"/>
    <mergeCell ref="A28:J28"/>
    <mergeCell ref="A21:B23"/>
    <mergeCell ref="C33:G33"/>
    <mergeCell ref="A46:B46"/>
    <mergeCell ref="A33:B33"/>
    <mergeCell ref="C46:G46"/>
    <mergeCell ref="B63:G63"/>
    <mergeCell ref="A47:B51"/>
    <mergeCell ref="A56:H56"/>
    <mergeCell ref="A54:H54"/>
    <mergeCell ref="C32:D32"/>
    <mergeCell ref="E32:F32"/>
    <mergeCell ref="C51:G51"/>
    <mergeCell ref="C37:G37"/>
    <mergeCell ref="A42:H42"/>
    <mergeCell ref="A34:B40"/>
    <mergeCell ref="A1:H1"/>
    <mergeCell ref="A2:H2"/>
    <mergeCell ref="A3:H3"/>
    <mergeCell ref="H21:H23"/>
    <mergeCell ref="A17:H17"/>
    <mergeCell ref="A19:H19"/>
    <mergeCell ref="C21:C23"/>
    <mergeCell ref="B20:F20"/>
    <mergeCell ref="D21:D23"/>
    <mergeCell ref="E21:E23"/>
    <mergeCell ref="E5:H7"/>
    <mergeCell ref="F21:F23"/>
    <mergeCell ref="G21:G23"/>
    <mergeCell ref="C49:G49"/>
    <mergeCell ref="A92:H92"/>
    <mergeCell ref="A93:H93"/>
    <mergeCell ref="B81:H81"/>
    <mergeCell ref="A58:G58"/>
    <mergeCell ref="B59:G59"/>
    <mergeCell ref="A44:H44"/>
    <mergeCell ref="A94:H94"/>
    <mergeCell ref="A80:H80"/>
    <mergeCell ref="A82:F82"/>
    <mergeCell ref="A87:H87"/>
    <mergeCell ref="A88:H88"/>
    <mergeCell ref="A90:H90"/>
    <mergeCell ref="A91:H91"/>
  </mergeCells>
  <phoneticPr fontId="11" type="noConversion"/>
  <hyperlinks>
    <hyperlink ref="A92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topLeftCell="A85" zoomScaleSheetLayoutView="100" workbookViewId="0">
      <selection activeCell="G92" sqref="G92"/>
    </sheetView>
  </sheetViews>
  <sheetFormatPr defaultRowHeight="12.75"/>
  <cols>
    <col min="1" max="1" width="12.42578125" style="137" customWidth="1"/>
    <col min="2" max="2" width="11.85546875" style="137" customWidth="1"/>
    <col min="3" max="3" width="14.140625" style="137" customWidth="1"/>
    <col min="4" max="4" width="12.7109375" style="137" customWidth="1"/>
    <col min="5" max="5" width="18.140625" style="137" customWidth="1"/>
    <col min="6" max="6" width="15.140625" style="137" customWidth="1"/>
    <col min="7" max="7" width="17.85546875" style="137" customWidth="1"/>
    <col min="8" max="8" width="13.140625" style="137" customWidth="1"/>
    <col min="9" max="9" width="15.28515625" style="137" customWidth="1"/>
    <col min="10" max="10" width="3.5703125" style="137" customWidth="1"/>
    <col min="11" max="12" width="9.140625" style="137"/>
    <col min="13" max="13" width="0.5703125" style="137" customWidth="1"/>
    <col min="14" max="15" width="9.140625" style="137"/>
    <col min="16" max="16" width="1.42578125" style="137" customWidth="1"/>
    <col min="17" max="16384" width="9.140625" style="137"/>
  </cols>
  <sheetData>
    <row r="1" spans="1:16" ht="18">
      <c r="A1" s="234" t="s">
        <v>231</v>
      </c>
      <c r="B1" s="234"/>
      <c r="C1" s="234"/>
      <c r="D1" s="234"/>
      <c r="E1" s="234"/>
      <c r="F1" s="234"/>
      <c r="G1" s="234"/>
      <c r="H1" s="234"/>
      <c r="I1" s="62"/>
      <c r="J1" s="62"/>
      <c r="K1" s="62"/>
      <c r="L1" s="62"/>
      <c r="M1" s="62"/>
      <c r="N1" s="62"/>
      <c r="O1" s="62"/>
    </row>
    <row r="2" spans="1:16" ht="18">
      <c r="A2" s="234" t="s">
        <v>237</v>
      </c>
      <c r="B2" s="234"/>
      <c r="C2" s="234"/>
      <c r="D2" s="234"/>
      <c r="E2" s="234"/>
      <c r="F2" s="234"/>
      <c r="G2" s="234"/>
      <c r="H2" s="234"/>
      <c r="I2" s="62"/>
      <c r="J2" s="62"/>
      <c r="K2" s="62"/>
      <c r="L2" s="62"/>
      <c r="M2" s="62"/>
      <c r="N2" s="62"/>
      <c r="O2" s="62"/>
    </row>
    <row r="3" spans="1:16" ht="18">
      <c r="A3" s="187" t="s">
        <v>50</v>
      </c>
      <c r="B3" s="187"/>
      <c r="C3" s="187"/>
      <c r="D3" s="187"/>
      <c r="E3" s="187"/>
      <c r="F3" s="187"/>
      <c r="G3" s="187"/>
      <c r="H3" s="187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183</v>
      </c>
      <c r="B5" s="65"/>
      <c r="C5" s="65"/>
      <c r="D5" s="65"/>
      <c r="E5" s="189" t="s">
        <v>51</v>
      </c>
      <c r="F5" s="189"/>
      <c r="G5" s="189"/>
      <c r="H5" s="189"/>
      <c r="I5" s="66"/>
      <c r="J5" s="66"/>
    </row>
    <row r="6" spans="1:16" s="67" customFormat="1" ht="14.25">
      <c r="A6" s="65" t="s">
        <v>92</v>
      </c>
      <c r="B6" s="65"/>
      <c r="C6" s="65"/>
      <c r="D6" s="65"/>
      <c r="E6" s="189"/>
      <c r="F6" s="189"/>
      <c r="G6" s="189"/>
      <c r="H6" s="189"/>
      <c r="I6" s="66"/>
      <c r="J6" s="66"/>
    </row>
    <row r="7" spans="1:16" s="67" customFormat="1" ht="28.5" customHeight="1">
      <c r="A7" s="65" t="s">
        <v>1</v>
      </c>
      <c r="B7" s="65"/>
      <c r="C7" s="65"/>
      <c r="D7" s="65"/>
      <c r="E7" s="189"/>
      <c r="F7" s="189"/>
      <c r="G7" s="189"/>
      <c r="H7" s="189"/>
      <c r="I7" s="66"/>
      <c r="J7" s="66"/>
    </row>
    <row r="8" spans="1:16" s="67" customFormat="1" ht="14.25">
      <c r="A8" s="65" t="s">
        <v>2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93</v>
      </c>
      <c r="B9" s="65"/>
      <c r="C9" s="65"/>
      <c r="D9" s="65"/>
      <c r="E9" s="68" t="s">
        <v>208</v>
      </c>
      <c r="F9" s="66"/>
      <c r="G9" s="66"/>
      <c r="H9" s="66"/>
      <c r="I9" s="66"/>
      <c r="J9" s="66"/>
    </row>
    <row r="10" spans="1:16" s="67" customFormat="1" ht="14.25">
      <c r="A10" s="65" t="s">
        <v>113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114</v>
      </c>
      <c r="B11" s="65"/>
      <c r="C11" s="65"/>
      <c r="D11" s="65"/>
      <c r="E11" s="65" t="s">
        <v>209</v>
      </c>
      <c r="F11" s="65"/>
      <c r="G11" s="65" t="s">
        <v>52</v>
      </c>
      <c r="I11" s="65"/>
      <c r="J11" s="65"/>
    </row>
    <row r="12" spans="1:16" s="67" customFormat="1" ht="14.25">
      <c r="A12" s="65" t="s">
        <v>184</v>
      </c>
      <c r="B12" s="65"/>
      <c r="C12" s="65"/>
      <c r="D12" s="65"/>
      <c r="E12" s="65" t="s">
        <v>210</v>
      </c>
      <c r="F12" s="65"/>
      <c r="G12" s="65" t="s">
        <v>246</v>
      </c>
      <c r="I12" s="65"/>
      <c r="J12" s="65"/>
    </row>
    <row r="13" spans="1:16" s="67" customFormat="1" ht="14.25">
      <c r="A13" s="65" t="s">
        <v>185</v>
      </c>
      <c r="B13" s="65"/>
      <c r="C13" s="65"/>
      <c r="D13" s="65"/>
      <c r="E13" s="65" t="s">
        <v>211</v>
      </c>
      <c r="F13" s="65"/>
      <c r="G13" s="65" t="s">
        <v>22</v>
      </c>
      <c r="I13" s="65"/>
      <c r="J13" s="65"/>
    </row>
    <row r="14" spans="1:16" s="67" customFormat="1" ht="14.25">
      <c r="A14" s="65" t="s">
        <v>186</v>
      </c>
      <c r="B14" s="65"/>
      <c r="C14" s="65"/>
      <c r="D14" s="65"/>
      <c r="E14" s="65" t="s">
        <v>212</v>
      </c>
      <c r="F14" s="65"/>
      <c r="G14" s="65" t="s">
        <v>213</v>
      </c>
      <c r="I14" s="65"/>
      <c r="J14" s="65"/>
    </row>
    <row r="15" spans="1:16" s="67" customFormat="1" ht="14.25">
      <c r="A15" s="65" t="s">
        <v>187</v>
      </c>
      <c r="B15" s="65"/>
      <c r="C15" s="65"/>
      <c r="D15" s="65"/>
      <c r="E15" s="65" t="s">
        <v>214</v>
      </c>
      <c r="F15" s="65"/>
      <c r="G15" s="65" t="s">
        <v>53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78" t="s">
        <v>65</v>
      </c>
      <c r="B17" s="178"/>
      <c r="C17" s="178"/>
      <c r="D17" s="178"/>
      <c r="E17" s="178"/>
      <c r="F17" s="178"/>
      <c r="G17" s="178"/>
      <c r="H17" s="178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1" t="s">
        <v>55</v>
      </c>
      <c r="B19" s="181"/>
      <c r="C19" s="181"/>
      <c r="D19" s="181"/>
      <c r="E19" s="181"/>
      <c r="F19" s="181"/>
      <c r="G19" s="181"/>
      <c r="H19" s="181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17"/>
      <c r="C20" s="217"/>
      <c r="D20" s="217"/>
      <c r="E20" s="217"/>
      <c r="F20" s="217"/>
      <c r="G20" s="75"/>
      <c r="H20" s="76" t="s">
        <v>215</v>
      </c>
      <c r="I20" s="76"/>
      <c r="K20" s="72"/>
      <c r="M20" s="72"/>
      <c r="N20" s="72"/>
      <c r="O20" s="77"/>
    </row>
    <row r="21" spans="1:16" s="67" customFormat="1" ht="15" customHeight="1">
      <c r="A21" s="218" t="s">
        <v>216</v>
      </c>
      <c r="B21" s="228"/>
      <c r="C21" s="231" t="s">
        <v>248</v>
      </c>
      <c r="D21" s="231" t="s">
        <v>217</v>
      </c>
      <c r="E21" s="236" t="s">
        <v>9</v>
      </c>
      <c r="F21" s="218" t="s">
        <v>247</v>
      </c>
      <c r="G21" s="202" t="s">
        <v>218</v>
      </c>
      <c r="H21" s="188" t="s">
        <v>219</v>
      </c>
      <c r="I21" s="78"/>
    </row>
    <row r="22" spans="1:16" s="67" customFormat="1" ht="15" customHeight="1">
      <c r="A22" s="219"/>
      <c r="B22" s="229"/>
      <c r="C22" s="232"/>
      <c r="D22" s="232"/>
      <c r="E22" s="237"/>
      <c r="F22" s="219"/>
      <c r="G22" s="203"/>
      <c r="H22" s="188"/>
      <c r="I22" s="78"/>
    </row>
    <row r="23" spans="1:16" s="67" customFormat="1" ht="75" customHeight="1">
      <c r="A23" s="220"/>
      <c r="B23" s="230"/>
      <c r="C23" s="233"/>
      <c r="D23" s="233"/>
      <c r="E23" s="238"/>
      <c r="F23" s="220"/>
      <c r="G23" s="204"/>
      <c r="H23" s="188"/>
      <c r="I23" s="78"/>
    </row>
    <row r="24" spans="1:16" s="81" customFormat="1" ht="14.25">
      <c r="A24" s="239">
        <v>19608</v>
      </c>
      <c r="B24" s="240"/>
      <c r="C24" s="138">
        <v>146957.88</v>
      </c>
      <c r="D24" s="139">
        <v>147006.81</v>
      </c>
      <c r="E24" s="139">
        <v>40332.839999999997</v>
      </c>
      <c r="F24" s="138">
        <f>C24-D24</f>
        <v>-48.929999999993015</v>
      </c>
      <c r="G24" s="140">
        <v>34218</v>
      </c>
      <c r="H24" s="141">
        <f>A24+D24+E24-G24</f>
        <v>172729.65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56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250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78" t="s">
        <v>243</v>
      </c>
      <c r="B28" s="178"/>
      <c r="C28" s="178"/>
      <c r="D28" s="178"/>
      <c r="E28" s="178"/>
      <c r="F28" s="178"/>
      <c r="G28" s="178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2" customFormat="1" ht="15.75">
      <c r="A31" s="177" t="s">
        <v>220</v>
      </c>
      <c r="B31" s="177"/>
      <c r="C31" s="177"/>
      <c r="D31" s="177"/>
      <c r="E31" s="177"/>
      <c r="F31" s="177"/>
      <c r="G31" s="177"/>
      <c r="H31" s="177"/>
      <c r="I31" s="86"/>
      <c r="J31" s="86"/>
    </row>
    <row r="32" spans="1:16" s="142" customFormat="1">
      <c r="A32" s="87"/>
      <c r="B32" s="143"/>
      <c r="C32" s="241"/>
      <c r="D32" s="241"/>
      <c r="E32" s="242"/>
      <c r="F32" s="242"/>
      <c r="G32" s="143"/>
      <c r="H32" s="88" t="s">
        <v>221</v>
      </c>
      <c r="I32" s="88"/>
    </row>
    <row r="33" spans="1:18" s="142" customFormat="1" ht="15.75">
      <c r="A33" s="183" t="s">
        <v>111</v>
      </c>
      <c r="B33" s="184"/>
      <c r="C33" s="211" t="s">
        <v>41</v>
      </c>
      <c r="D33" s="212"/>
      <c r="E33" s="212"/>
      <c r="F33" s="212"/>
      <c r="G33" s="213"/>
      <c r="H33" s="89" t="s">
        <v>222</v>
      </c>
      <c r="L33" s="244"/>
      <c r="M33" s="244"/>
      <c r="N33" s="244"/>
      <c r="O33" s="244"/>
      <c r="P33" s="244"/>
      <c r="Q33" s="244"/>
      <c r="R33" s="244"/>
    </row>
    <row r="34" spans="1:18" s="142" customFormat="1" ht="15" customHeight="1">
      <c r="A34" s="196" t="s">
        <v>238</v>
      </c>
      <c r="B34" s="197"/>
      <c r="C34" s="113" t="s">
        <v>90</v>
      </c>
      <c r="D34" s="91"/>
      <c r="E34" s="91"/>
      <c r="F34" s="91"/>
      <c r="G34" s="91"/>
      <c r="H34" s="150">
        <f>4143</f>
        <v>4143</v>
      </c>
      <c r="L34" s="244"/>
      <c r="M34" s="244"/>
      <c r="N34" s="244"/>
      <c r="O34" s="244"/>
      <c r="P34" s="244"/>
      <c r="Q34" s="244"/>
      <c r="R34" s="244"/>
    </row>
    <row r="35" spans="1:18" s="142" customFormat="1" ht="15" customHeight="1">
      <c r="A35" s="198"/>
      <c r="B35" s="199"/>
      <c r="C35" s="113" t="s">
        <v>249</v>
      </c>
      <c r="D35" s="91"/>
      <c r="E35" s="91"/>
      <c r="F35" s="91"/>
      <c r="G35" s="91"/>
      <c r="H35" s="150">
        <f>5401+7740</f>
        <v>13141</v>
      </c>
      <c r="L35" s="244"/>
      <c r="M35" s="244"/>
      <c r="N35" s="244"/>
      <c r="O35" s="244"/>
      <c r="P35" s="244"/>
      <c r="Q35" s="244"/>
      <c r="R35" s="244"/>
    </row>
    <row r="36" spans="1:18" s="142" customFormat="1" ht="15" customHeight="1">
      <c r="A36" s="198"/>
      <c r="B36" s="199"/>
      <c r="C36" s="113" t="s">
        <v>89</v>
      </c>
      <c r="D36" s="91"/>
      <c r="E36" s="91"/>
      <c r="F36" s="91"/>
      <c r="G36" s="91"/>
      <c r="H36" s="150">
        <f>5626+6171+4371</f>
        <v>16168</v>
      </c>
      <c r="L36" s="244"/>
      <c r="M36" s="244"/>
      <c r="N36" s="244"/>
      <c r="O36" s="244"/>
      <c r="P36" s="244"/>
      <c r="Q36" s="244"/>
      <c r="R36" s="244"/>
    </row>
    <row r="37" spans="1:18" s="142" customFormat="1" ht="15" customHeight="1">
      <c r="A37" s="198"/>
      <c r="B37" s="199"/>
      <c r="C37" s="113" t="s">
        <v>36</v>
      </c>
      <c r="D37" s="91"/>
      <c r="E37" s="91"/>
      <c r="F37" s="91"/>
      <c r="G37" s="91"/>
      <c r="H37" s="150">
        <f>766</f>
        <v>766</v>
      </c>
      <c r="K37" s="144"/>
      <c r="L37" s="244"/>
      <c r="M37" s="244"/>
      <c r="N37" s="244"/>
      <c r="O37" s="244"/>
      <c r="P37" s="244"/>
      <c r="Q37" s="244"/>
      <c r="R37" s="244"/>
    </row>
    <row r="38" spans="1:18" s="142" customFormat="1" ht="15" customHeight="1">
      <c r="A38" s="198"/>
      <c r="B38" s="199"/>
      <c r="C38" s="113"/>
      <c r="D38" s="91"/>
      <c r="E38" s="91"/>
      <c r="F38" s="91"/>
      <c r="G38" s="91"/>
      <c r="H38" s="149">
        <f>SUM(H34:H37)</f>
        <v>34218</v>
      </c>
      <c r="K38" s="144"/>
      <c r="L38" s="155"/>
      <c r="M38" s="155"/>
      <c r="N38" s="155"/>
      <c r="O38" s="155"/>
      <c r="P38" s="155"/>
      <c r="Q38" s="155"/>
      <c r="R38" s="155"/>
    </row>
    <row r="39" spans="1:18" s="142" customFormat="1" ht="15.75">
      <c r="A39" s="198"/>
      <c r="B39" s="199"/>
      <c r="C39" s="211" t="s">
        <v>42</v>
      </c>
      <c r="D39" s="212"/>
      <c r="E39" s="212"/>
      <c r="F39" s="212"/>
      <c r="G39" s="213"/>
      <c r="H39" s="149"/>
      <c r="L39" s="244"/>
      <c r="M39" s="244"/>
      <c r="N39" s="244"/>
      <c r="O39" s="244"/>
      <c r="P39" s="244"/>
      <c r="Q39" s="244"/>
      <c r="R39" s="244"/>
    </row>
    <row r="40" spans="1:18" s="142" customFormat="1" ht="14.25">
      <c r="A40" s="198"/>
      <c r="B40" s="199"/>
      <c r="C40" s="193" t="s">
        <v>31</v>
      </c>
      <c r="D40" s="194"/>
      <c r="E40" s="194"/>
      <c r="F40" s="194"/>
      <c r="G40" s="195"/>
      <c r="H40" s="150">
        <f>41600+12800</f>
        <v>54400</v>
      </c>
      <c r="L40" s="155"/>
      <c r="M40" s="155"/>
      <c r="N40" s="155"/>
      <c r="O40" s="155"/>
      <c r="P40" s="155"/>
      <c r="Q40" s="155"/>
      <c r="R40" s="155"/>
    </row>
    <row r="41" spans="1:18" s="142" customFormat="1" ht="14.25">
      <c r="A41" s="198"/>
      <c r="B41" s="199"/>
      <c r="C41" s="153" t="s">
        <v>57</v>
      </c>
      <c r="D41" s="154"/>
      <c r="E41" s="154"/>
      <c r="F41" s="154"/>
      <c r="G41" s="154"/>
      <c r="H41" s="150">
        <f>13640</f>
        <v>13640</v>
      </c>
      <c r="L41" s="155"/>
      <c r="M41" s="155"/>
      <c r="N41" s="155"/>
      <c r="O41" s="155"/>
      <c r="P41" s="155"/>
      <c r="Q41" s="155"/>
      <c r="R41" s="155"/>
    </row>
    <row r="42" spans="1:18" s="142" customFormat="1" ht="14.25">
      <c r="A42" s="198"/>
      <c r="B42" s="199"/>
      <c r="C42" s="153" t="s">
        <v>83</v>
      </c>
      <c r="D42" s="154"/>
      <c r="E42" s="154"/>
      <c r="F42" s="154"/>
      <c r="G42" s="154"/>
      <c r="H42" s="150">
        <f>9000+9000</f>
        <v>18000</v>
      </c>
      <c r="L42" s="155"/>
      <c r="M42" s="155"/>
      <c r="N42" s="155"/>
      <c r="O42" s="155"/>
      <c r="P42" s="155"/>
      <c r="Q42" s="155"/>
      <c r="R42" s="155"/>
    </row>
    <row r="43" spans="1:18" s="142" customFormat="1" ht="15.75">
      <c r="A43" s="198"/>
      <c r="B43" s="199"/>
      <c r="C43" s="113" t="s">
        <v>249</v>
      </c>
      <c r="D43" s="164"/>
      <c r="E43" s="164"/>
      <c r="F43" s="164"/>
      <c r="G43" s="164"/>
      <c r="H43" s="150">
        <f>11074+17391+18178</f>
        <v>46643</v>
      </c>
      <c r="L43" s="155"/>
      <c r="M43" s="155"/>
      <c r="N43" s="155"/>
      <c r="O43" s="155"/>
      <c r="P43" s="155"/>
      <c r="Q43" s="155"/>
      <c r="R43" s="155"/>
    </row>
    <row r="44" spans="1:18" s="142" customFormat="1" ht="14.25">
      <c r="A44" s="200"/>
      <c r="B44" s="201"/>
      <c r="C44" s="113" t="s">
        <v>90</v>
      </c>
      <c r="D44" s="91"/>
      <c r="E44" s="91"/>
      <c r="F44" s="91"/>
      <c r="G44" s="91"/>
      <c r="H44" s="102">
        <f>5237</f>
        <v>5237</v>
      </c>
    </row>
    <row r="45" spans="1:18">
      <c r="A45" s="95"/>
      <c r="B45" s="95"/>
      <c r="C45" s="95"/>
      <c r="D45" s="95"/>
      <c r="E45" s="96"/>
      <c r="F45" s="96"/>
      <c r="G45" s="96"/>
      <c r="H45" s="96"/>
      <c r="I45" s="96"/>
      <c r="J45" s="96"/>
    </row>
    <row r="46" spans="1:18" ht="42.75" customHeight="1">
      <c r="A46" s="178" t="s">
        <v>66</v>
      </c>
      <c r="B46" s="178"/>
      <c r="C46" s="178"/>
      <c r="D46" s="178"/>
      <c r="E46" s="178"/>
      <c r="F46" s="178"/>
      <c r="G46" s="178"/>
      <c r="H46" s="178"/>
      <c r="I46" s="66"/>
      <c r="J46" s="66"/>
    </row>
    <row r="47" spans="1:18">
      <c r="A47" s="95"/>
      <c r="B47" s="95"/>
      <c r="C47" s="95"/>
      <c r="D47" s="95"/>
      <c r="E47" s="96"/>
      <c r="F47" s="96"/>
      <c r="G47" s="96"/>
      <c r="H47" s="96"/>
      <c r="I47" s="96"/>
      <c r="J47" s="96"/>
    </row>
    <row r="48" spans="1:18" ht="33" customHeight="1">
      <c r="A48" s="179" t="s">
        <v>43</v>
      </c>
      <c r="B48" s="179"/>
      <c r="C48" s="179"/>
      <c r="D48" s="179"/>
      <c r="E48" s="179"/>
      <c r="F48" s="179"/>
      <c r="G48" s="179"/>
      <c r="H48" s="179"/>
      <c r="I48" s="97"/>
      <c r="J48" s="97"/>
      <c r="K48" s="74"/>
      <c r="L48" s="74"/>
      <c r="M48" s="74"/>
      <c r="N48" s="74"/>
      <c r="O48" s="74"/>
      <c r="P48" s="74"/>
    </row>
    <row r="49" spans="1:16" ht="15">
      <c r="A49" s="98"/>
      <c r="B49" s="98"/>
      <c r="C49" s="98"/>
      <c r="D49" s="98"/>
      <c r="E49" s="98"/>
      <c r="F49" s="98"/>
      <c r="G49" s="98"/>
      <c r="H49" s="99" t="s">
        <v>223</v>
      </c>
      <c r="J49" s="98"/>
      <c r="M49" s="98"/>
      <c r="N49" s="98"/>
      <c r="O49" s="98"/>
      <c r="P49" s="98"/>
    </row>
    <row r="50" spans="1:16" ht="15.75">
      <c r="A50" s="211" t="s">
        <v>111</v>
      </c>
      <c r="B50" s="213"/>
      <c r="C50" s="211" t="s">
        <v>41</v>
      </c>
      <c r="D50" s="212"/>
      <c r="E50" s="212"/>
      <c r="F50" s="212"/>
      <c r="G50" s="213"/>
      <c r="H50" s="89" t="s">
        <v>222</v>
      </c>
      <c r="I50" s="98"/>
      <c r="J50" s="98"/>
      <c r="K50" s="98"/>
      <c r="L50" s="98"/>
    </row>
    <row r="51" spans="1:16" ht="15" customHeight="1">
      <c r="A51" s="198" t="s">
        <v>238</v>
      </c>
      <c r="B51" s="199"/>
      <c r="C51" s="113" t="s">
        <v>133</v>
      </c>
      <c r="D51" s="100"/>
      <c r="E51" s="100"/>
      <c r="F51" s="100"/>
      <c r="G51" s="101"/>
      <c r="H51" s="102">
        <f>H73</f>
        <v>11063.522464566131</v>
      </c>
      <c r="I51" s="98"/>
      <c r="J51" s="98"/>
      <c r="K51" s="98"/>
      <c r="L51" s="98"/>
    </row>
    <row r="52" spans="1:16" ht="15" customHeight="1">
      <c r="A52" s="198"/>
      <c r="B52" s="199"/>
      <c r="C52" s="67" t="s">
        <v>30</v>
      </c>
      <c r="D52" s="100"/>
      <c r="E52" s="100"/>
      <c r="F52" s="100"/>
      <c r="G52" s="101"/>
      <c r="H52" s="102">
        <f>728+728</f>
        <v>1456</v>
      </c>
      <c r="I52" s="98"/>
      <c r="J52" s="98"/>
      <c r="K52" s="98"/>
      <c r="L52" s="98"/>
    </row>
    <row r="53" spans="1:16" ht="15" customHeight="1">
      <c r="A53" s="198"/>
      <c r="B53" s="199"/>
      <c r="C53" s="190" t="s">
        <v>37</v>
      </c>
      <c r="D53" s="191"/>
      <c r="E53" s="191"/>
      <c r="F53" s="191"/>
      <c r="G53" s="192"/>
      <c r="H53" s="102">
        <f>2238+2167</f>
        <v>4405</v>
      </c>
      <c r="I53" s="98"/>
      <c r="J53" s="98"/>
      <c r="K53" s="98"/>
      <c r="L53" s="98"/>
    </row>
    <row r="54" spans="1:16" ht="15.75">
      <c r="A54" s="198"/>
      <c r="B54" s="199"/>
      <c r="C54" s="211" t="s">
        <v>42</v>
      </c>
      <c r="D54" s="212"/>
      <c r="E54" s="212"/>
      <c r="F54" s="212"/>
      <c r="G54" s="213"/>
      <c r="H54" s="158"/>
      <c r="I54" s="98"/>
      <c r="J54" s="98"/>
      <c r="K54" s="98"/>
      <c r="L54" s="98"/>
    </row>
    <row r="55" spans="1:16" ht="15">
      <c r="A55" s="200"/>
      <c r="B55" s="201"/>
      <c r="C55" s="243" t="s">
        <v>224</v>
      </c>
      <c r="D55" s="214"/>
      <c r="E55" s="214"/>
      <c r="F55" s="214"/>
      <c r="G55" s="215"/>
      <c r="H55" s="102">
        <v>6801.02</v>
      </c>
      <c r="I55" s="98"/>
      <c r="J55" s="98"/>
      <c r="K55" s="98"/>
      <c r="L55" s="98"/>
    </row>
    <row r="56" spans="1:16">
      <c r="A56" s="95"/>
      <c r="B56" s="95"/>
      <c r="I56" s="96"/>
      <c r="J56" s="96"/>
    </row>
    <row r="57" spans="1:16">
      <c r="A57" s="90" t="s">
        <v>188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6" ht="18" customHeight="1">
      <c r="A58" s="180" t="s">
        <v>110</v>
      </c>
      <c r="B58" s="180"/>
      <c r="C58" s="180"/>
      <c r="D58" s="180"/>
      <c r="E58" s="180"/>
      <c r="F58" s="180"/>
      <c r="G58" s="180"/>
      <c r="H58" s="180"/>
      <c r="I58" s="105"/>
      <c r="J58" s="105"/>
    </row>
    <row r="59" spans="1:16" ht="12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</row>
    <row r="60" spans="1:16" ht="15.75">
      <c r="A60" s="181" t="s">
        <v>108</v>
      </c>
      <c r="B60" s="181"/>
      <c r="C60" s="181"/>
      <c r="D60" s="181"/>
      <c r="E60" s="181"/>
      <c r="F60" s="181"/>
      <c r="G60" s="181"/>
      <c r="H60" s="181"/>
      <c r="I60" s="74"/>
      <c r="J60" s="74"/>
    </row>
    <row r="61" spans="1:16" ht="15.75">
      <c r="A61" s="106"/>
      <c r="B61" s="106"/>
      <c r="C61" s="106"/>
      <c r="D61" s="106"/>
      <c r="E61" s="106"/>
      <c r="F61" s="106"/>
      <c r="G61" s="106"/>
      <c r="H61" s="99" t="s">
        <v>225</v>
      </c>
      <c r="J61" s="106"/>
    </row>
    <row r="62" spans="1:16" ht="15.75">
      <c r="A62" s="223" t="s">
        <v>109</v>
      </c>
      <c r="B62" s="223"/>
      <c r="C62" s="223"/>
      <c r="D62" s="223"/>
      <c r="E62" s="223"/>
      <c r="F62" s="223"/>
      <c r="G62" s="224"/>
      <c r="H62" s="107">
        <f>SUM(H71:H84)+H64+H70</f>
        <v>1507791.6668318592</v>
      </c>
      <c r="I62" s="108"/>
      <c r="J62" s="108"/>
    </row>
    <row r="63" spans="1:16" ht="15">
      <c r="A63" s="109" t="s">
        <v>97</v>
      </c>
      <c r="B63" s="225" t="s">
        <v>98</v>
      </c>
      <c r="C63" s="226"/>
      <c r="D63" s="226"/>
      <c r="E63" s="226"/>
      <c r="F63" s="226"/>
      <c r="G63" s="227"/>
      <c r="H63" s="110" t="s">
        <v>99</v>
      </c>
      <c r="I63" s="111"/>
    </row>
    <row r="64" spans="1:16" ht="15.75">
      <c r="A64" s="112" t="s">
        <v>100</v>
      </c>
      <c r="B64" s="113" t="s">
        <v>101</v>
      </c>
      <c r="C64" s="91"/>
      <c r="D64" s="91"/>
      <c r="E64" s="91"/>
      <c r="F64" s="91"/>
      <c r="G64" s="91"/>
      <c r="H64" s="94">
        <f>SUM(H65:H69)</f>
        <v>110456.45412153211</v>
      </c>
      <c r="I64" s="75"/>
      <c r="K64" s="104"/>
    </row>
    <row r="65" spans="1:18" ht="15">
      <c r="A65" s="112"/>
      <c r="B65" s="113" t="s">
        <v>32</v>
      </c>
      <c r="C65" s="91"/>
      <c r="D65" s="91"/>
      <c r="E65" s="91"/>
      <c r="F65" s="91"/>
      <c r="G65" s="91"/>
      <c r="H65" s="102">
        <f>457+3700+5973</f>
        <v>10130</v>
      </c>
      <c r="I65" s="75"/>
    </row>
    <row r="66" spans="1:18" ht="15">
      <c r="A66" s="112"/>
      <c r="B66" s="113" t="s">
        <v>251</v>
      </c>
      <c r="C66" s="91"/>
      <c r="D66" s="91"/>
      <c r="E66" s="91"/>
      <c r="F66" s="91"/>
      <c r="G66" s="91"/>
      <c r="H66" s="102">
        <f>3840+5118</f>
        <v>8958</v>
      </c>
      <c r="I66" s="75"/>
    </row>
    <row r="67" spans="1:18" ht="15">
      <c r="A67" s="112"/>
      <c r="B67" s="113" t="s">
        <v>0</v>
      </c>
      <c r="C67" s="91"/>
      <c r="D67" s="91"/>
      <c r="E67" s="91"/>
      <c r="F67" s="91"/>
      <c r="G67" s="91"/>
      <c r="H67" s="102">
        <f>2894</f>
        <v>2894</v>
      </c>
      <c r="I67" s="75"/>
    </row>
    <row r="68" spans="1:18" ht="15">
      <c r="A68" s="112"/>
      <c r="B68" s="113" t="s">
        <v>14</v>
      </c>
      <c r="C68" s="91"/>
      <c r="D68" s="91"/>
      <c r="E68" s="91"/>
      <c r="F68" s="91"/>
      <c r="G68" s="91"/>
      <c r="H68" s="102">
        <f>933+589</f>
        <v>1522</v>
      </c>
      <c r="I68" s="75"/>
    </row>
    <row r="69" spans="1:18" ht="48" customHeight="1">
      <c r="A69" s="112"/>
      <c r="B69" s="206" t="s">
        <v>16</v>
      </c>
      <c r="C69" s="207"/>
      <c r="D69" s="207"/>
      <c r="E69" s="207"/>
      <c r="F69" s="207"/>
      <c r="G69" s="207"/>
      <c r="H69" s="102">
        <f>Основное!$D$4*Основное!I32</f>
        <v>86952.454121532108</v>
      </c>
      <c r="I69" s="75"/>
    </row>
    <row r="70" spans="1:18" ht="15">
      <c r="A70" s="112" t="s">
        <v>102</v>
      </c>
      <c r="B70" s="113" t="s">
        <v>139</v>
      </c>
      <c r="C70" s="91"/>
      <c r="D70" s="91"/>
      <c r="E70" s="91"/>
      <c r="F70" s="91"/>
      <c r="G70" s="91"/>
      <c r="H70" s="102">
        <f>Основное!$D$4*Основное!I33</f>
        <v>5477.6849738496285</v>
      </c>
      <c r="I70" s="75"/>
    </row>
    <row r="71" spans="1:18" ht="15">
      <c r="A71" s="112" t="s">
        <v>268</v>
      </c>
      <c r="B71" s="61" t="s">
        <v>267</v>
      </c>
      <c r="C71" s="91"/>
      <c r="D71" s="91"/>
      <c r="E71" s="91"/>
      <c r="F71" s="91"/>
      <c r="G71" s="91"/>
      <c r="H71" s="102">
        <f>Основное!$D$4*Основное!I34</f>
        <v>11704.477891097817</v>
      </c>
      <c r="I71" s="75"/>
    </row>
    <row r="72" spans="1:18" ht="14.25">
      <c r="A72" s="112" t="s">
        <v>269</v>
      </c>
      <c r="B72" s="113" t="s">
        <v>103</v>
      </c>
      <c r="C72" s="91"/>
      <c r="D72" s="91"/>
      <c r="E72" s="91"/>
      <c r="F72" s="91"/>
      <c r="G72" s="91"/>
      <c r="H72" s="102">
        <f>Основное!$D$4*Основное!I35</f>
        <v>62007.484124671479</v>
      </c>
      <c r="I72" s="114"/>
      <c r="J72" s="114"/>
      <c r="K72" s="142"/>
      <c r="L72" s="142"/>
      <c r="M72" s="142"/>
      <c r="N72" s="142"/>
      <c r="O72" s="142"/>
      <c r="P72" s="142"/>
      <c r="Q72" s="142"/>
      <c r="R72" s="142"/>
    </row>
    <row r="73" spans="1:18" ht="14.25">
      <c r="A73" s="112" t="s">
        <v>265</v>
      </c>
      <c r="B73" s="113" t="s">
        <v>266</v>
      </c>
      <c r="C73" s="91"/>
      <c r="D73" s="91"/>
      <c r="E73" s="91"/>
      <c r="F73" s="91"/>
      <c r="G73" s="91"/>
      <c r="H73" s="102">
        <f>Основное!$D$4*Основное!I36</f>
        <v>11063.522464566131</v>
      </c>
      <c r="I73" s="114"/>
      <c r="J73" s="114"/>
      <c r="K73" s="142"/>
      <c r="L73" s="142"/>
      <c r="M73" s="142"/>
      <c r="N73" s="142"/>
      <c r="O73" s="142"/>
      <c r="P73" s="142"/>
      <c r="Q73" s="142"/>
      <c r="R73" s="142"/>
    </row>
    <row r="74" spans="1:18" ht="15">
      <c r="A74" s="112" t="s">
        <v>270</v>
      </c>
      <c r="B74" s="113" t="s">
        <v>263</v>
      </c>
      <c r="C74" s="91"/>
      <c r="D74" s="91"/>
      <c r="E74" s="91"/>
      <c r="F74" s="91"/>
      <c r="G74" s="91"/>
      <c r="H74" s="102">
        <f>Основное!$D$4*Основное!I37</f>
        <v>102110.03193815875</v>
      </c>
      <c r="I74" s="75"/>
    </row>
    <row r="75" spans="1:18" ht="15">
      <c r="A75" s="112" t="s">
        <v>271</v>
      </c>
      <c r="B75" s="113" t="s">
        <v>264</v>
      </c>
      <c r="C75" s="91"/>
      <c r="D75" s="91"/>
      <c r="E75" s="91"/>
      <c r="F75" s="91"/>
      <c r="G75" s="91"/>
      <c r="H75" s="102">
        <f>Основное!$D$4*Основное!I38</f>
        <v>7377.4750094859455</v>
      </c>
      <c r="I75" s="75"/>
    </row>
    <row r="76" spans="1:18" ht="15">
      <c r="A76" s="112" t="s">
        <v>272</v>
      </c>
      <c r="B76" s="113" t="s">
        <v>104</v>
      </c>
      <c r="C76" s="91"/>
      <c r="D76" s="91"/>
      <c r="E76" s="91"/>
      <c r="F76" s="91"/>
      <c r="G76" s="91"/>
      <c r="H76" s="102">
        <f>Основное!$D$4*Основное!I39</f>
        <v>99122.898419730191</v>
      </c>
      <c r="I76" s="75"/>
    </row>
    <row r="77" spans="1:18" ht="15">
      <c r="A77" s="112" t="s">
        <v>273</v>
      </c>
      <c r="B77" s="113" t="s">
        <v>135</v>
      </c>
      <c r="C77" s="91"/>
      <c r="D77" s="91"/>
      <c r="E77" s="91"/>
      <c r="F77" s="91"/>
      <c r="G77" s="91"/>
      <c r="H77" s="102">
        <f>Основное!$D$4*Основное!I40</f>
        <v>237659.94971268447</v>
      </c>
      <c r="I77" s="75"/>
    </row>
    <row r="78" spans="1:18" ht="15">
      <c r="A78" s="112" t="s">
        <v>274</v>
      </c>
      <c r="B78" s="113" t="s">
        <v>140</v>
      </c>
      <c r="C78" s="91"/>
      <c r="D78" s="91"/>
      <c r="E78" s="91"/>
      <c r="F78" s="91"/>
      <c r="G78" s="91"/>
      <c r="H78" s="102">
        <f>Основное!$D$4*Основное!I41</f>
        <v>28378.53438034825</v>
      </c>
      <c r="I78" s="75"/>
    </row>
    <row r="79" spans="1:18" ht="15">
      <c r="A79" s="112" t="s">
        <v>275</v>
      </c>
      <c r="B79" s="113" t="s">
        <v>132</v>
      </c>
      <c r="C79" s="91"/>
      <c r="D79" s="91"/>
      <c r="E79" s="91"/>
      <c r="F79" s="91"/>
      <c r="G79" s="91"/>
      <c r="H79" s="102">
        <f>Основное!$D$4*Основное!I42</f>
        <v>14735.733931835897</v>
      </c>
      <c r="I79" s="75"/>
    </row>
    <row r="80" spans="1:18" ht="15">
      <c r="A80" s="112" t="s">
        <v>276</v>
      </c>
      <c r="B80" s="113" t="s">
        <v>138</v>
      </c>
      <c r="C80" s="91"/>
      <c r="D80" s="91"/>
      <c r="E80" s="91"/>
      <c r="F80" s="91"/>
      <c r="G80" s="91"/>
      <c r="H80" s="102">
        <f>Основное!$D$4*Основное!I43</f>
        <v>5429.0817972934237</v>
      </c>
      <c r="I80" s="75"/>
    </row>
    <row r="81" spans="1:15" ht="15">
      <c r="A81" s="112" t="s">
        <v>277</v>
      </c>
      <c r="B81" s="113" t="s">
        <v>105</v>
      </c>
      <c r="C81" s="91"/>
      <c r="D81" s="91"/>
      <c r="E81" s="91"/>
      <c r="F81" s="91"/>
      <c r="G81" s="91"/>
      <c r="H81" s="102">
        <f>Основное!$D$4*Основное!I44</f>
        <v>641574.35890276555</v>
      </c>
      <c r="I81" s="75"/>
    </row>
    <row r="82" spans="1:15" ht="15">
      <c r="A82" s="112" t="s">
        <v>278</v>
      </c>
      <c r="B82" s="113" t="s">
        <v>131</v>
      </c>
      <c r="C82" s="91"/>
      <c r="D82" s="91"/>
      <c r="E82" s="91"/>
      <c r="F82" s="91"/>
      <c r="G82" s="91"/>
      <c r="H82" s="102">
        <f>Основное!$D$4*Основное!I45</f>
        <v>129598.02049835862</v>
      </c>
      <c r="I82" s="75"/>
    </row>
    <row r="83" spans="1:15" ht="15">
      <c r="A83" s="112" t="s">
        <v>279</v>
      </c>
      <c r="B83" s="113" t="s">
        <v>127</v>
      </c>
      <c r="C83" s="91"/>
      <c r="D83" s="91"/>
      <c r="E83" s="91"/>
      <c r="F83" s="91"/>
      <c r="G83" s="91"/>
      <c r="H83" s="102">
        <f>Основное!$D$4*Основное!I46</f>
        <v>19279.508601178451</v>
      </c>
      <c r="I83" s="75"/>
    </row>
    <row r="84" spans="1:15" ht="15">
      <c r="A84" s="112" t="s">
        <v>280</v>
      </c>
      <c r="B84" s="113" t="s">
        <v>44</v>
      </c>
      <c r="C84" s="91"/>
      <c r="D84" s="91"/>
      <c r="E84" s="91"/>
      <c r="F84" s="91"/>
      <c r="G84" s="91"/>
      <c r="H84" s="102">
        <f>Основное!$D$4*Основное!I47</f>
        <v>21816.450064302433</v>
      </c>
      <c r="I84" s="75"/>
    </row>
    <row r="85" spans="1:15">
      <c r="A85" s="116"/>
      <c r="B85" s="116"/>
      <c r="C85" s="116"/>
      <c r="D85" s="116"/>
      <c r="E85" s="116"/>
      <c r="F85" s="116"/>
      <c r="G85" s="116"/>
      <c r="H85" s="117"/>
      <c r="I85" s="114"/>
      <c r="J85" s="114"/>
    </row>
    <row r="86" spans="1:15" s="142" customFormat="1" ht="26.25" customHeight="1">
      <c r="A86" s="182" t="s">
        <v>4</v>
      </c>
      <c r="B86" s="182"/>
      <c r="C86" s="182"/>
      <c r="D86" s="182"/>
      <c r="E86" s="182"/>
      <c r="F86" s="182"/>
      <c r="G86" s="182"/>
      <c r="H86" s="182"/>
      <c r="I86" s="118"/>
      <c r="J86" s="118"/>
      <c r="K86" s="82"/>
    </row>
    <row r="87" spans="1:15" s="142" customFormat="1">
      <c r="A87" s="119"/>
      <c r="B87" s="208"/>
      <c r="C87" s="208"/>
      <c r="D87" s="208"/>
      <c r="E87" s="208"/>
      <c r="F87" s="208"/>
      <c r="G87" s="208"/>
      <c r="H87" s="208"/>
      <c r="I87" s="120"/>
      <c r="J87" s="120"/>
    </row>
    <row r="88" spans="1:15" s="142" customFormat="1" ht="15.75">
      <c r="A88" s="177" t="s">
        <v>254</v>
      </c>
      <c r="B88" s="177"/>
      <c r="C88" s="177"/>
      <c r="D88" s="177"/>
      <c r="E88" s="177"/>
      <c r="F88" s="177"/>
      <c r="G88" s="177"/>
      <c r="I88" s="119"/>
    </row>
    <row r="89" spans="1:15" s="142" customFormat="1" ht="15.75">
      <c r="A89" s="111"/>
      <c r="B89" s="111"/>
      <c r="C89" s="111"/>
      <c r="D89" s="111"/>
      <c r="E89" s="86"/>
      <c r="F89" s="82"/>
      <c r="G89" s="121" t="s">
        <v>226</v>
      </c>
      <c r="H89" s="120"/>
      <c r="I89" s="120"/>
    </row>
    <row r="90" spans="1:15" s="142" customFormat="1" ht="31.5" customHeight="1">
      <c r="A90" s="122" t="s">
        <v>257</v>
      </c>
      <c r="B90" s="122" t="s">
        <v>256</v>
      </c>
      <c r="C90" s="123" t="s">
        <v>227</v>
      </c>
      <c r="D90" s="123" t="s">
        <v>228</v>
      </c>
      <c r="E90" s="124" t="s">
        <v>252</v>
      </c>
      <c r="F90" s="124" t="s">
        <v>253</v>
      </c>
      <c r="G90" s="172" t="s">
        <v>281</v>
      </c>
      <c r="J90" s="120"/>
    </row>
    <row r="91" spans="1:15" s="83" customFormat="1" ht="15">
      <c r="A91" s="141">
        <v>2052.84</v>
      </c>
      <c r="B91" s="145">
        <v>8640</v>
      </c>
      <c r="C91" s="139">
        <v>8640</v>
      </c>
      <c r="D91" s="141">
        <v>12000</v>
      </c>
      <c r="E91" s="139">
        <v>6000</v>
      </c>
      <c r="F91" s="139">
        <v>3000</v>
      </c>
      <c r="G91" s="173">
        <f>SUM(A91:F91)</f>
        <v>40332.839999999997</v>
      </c>
      <c r="H91" s="125"/>
      <c r="I91" s="125"/>
      <c r="J91" s="125"/>
    </row>
    <row r="92" spans="1:15" s="142" customFormat="1" ht="15">
      <c r="A92" s="126"/>
      <c r="B92" s="126"/>
      <c r="C92" s="127"/>
      <c r="D92" s="127"/>
      <c r="E92" s="127"/>
      <c r="F92" s="127"/>
      <c r="G92" s="82"/>
      <c r="H92" s="120"/>
      <c r="I92" s="120"/>
      <c r="J92" s="120"/>
    </row>
    <row r="93" spans="1:15" s="142" customFormat="1" ht="94.5" customHeight="1">
      <c r="A93" s="221" t="s">
        <v>45</v>
      </c>
      <c r="B93" s="221"/>
      <c r="C93" s="221"/>
      <c r="D93" s="221"/>
      <c r="E93" s="221"/>
      <c r="F93" s="221"/>
      <c r="G93" s="221"/>
      <c r="H93" s="221"/>
      <c r="I93" s="128"/>
      <c r="J93" s="128"/>
      <c r="K93" s="128"/>
      <c r="L93" s="128"/>
    </row>
    <row r="94" spans="1:15" ht="59.25" customHeight="1">
      <c r="A94" s="222" t="s">
        <v>46</v>
      </c>
      <c r="B94" s="222"/>
      <c r="C94" s="222"/>
      <c r="D94" s="222"/>
      <c r="E94" s="222"/>
      <c r="F94" s="222"/>
      <c r="G94" s="222"/>
      <c r="H94" s="222"/>
      <c r="I94" s="129"/>
      <c r="J94" s="129"/>
      <c r="K94" s="129"/>
      <c r="L94" s="129"/>
      <c r="M94" s="129"/>
      <c r="N94" s="129"/>
      <c r="O94" s="129"/>
    </row>
    <row r="95" spans="1:1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1:15" ht="15">
      <c r="A96" s="235" t="s">
        <v>175</v>
      </c>
      <c r="B96" s="235"/>
      <c r="C96" s="235"/>
      <c r="D96" s="235"/>
      <c r="E96" s="235"/>
      <c r="F96" s="235"/>
      <c r="G96" s="235"/>
      <c r="H96" s="235"/>
      <c r="I96" s="131"/>
      <c r="J96" s="132"/>
      <c r="K96" s="132"/>
      <c r="L96" s="132"/>
      <c r="M96" s="132"/>
      <c r="N96" s="132"/>
      <c r="O96" s="132"/>
    </row>
    <row r="97" spans="1:15" ht="15">
      <c r="A97" s="235" t="s">
        <v>234</v>
      </c>
      <c r="B97" s="235"/>
      <c r="C97" s="235"/>
      <c r="D97" s="235"/>
      <c r="E97" s="235"/>
      <c r="F97" s="235"/>
      <c r="G97" s="235"/>
      <c r="H97" s="235"/>
      <c r="I97" s="131"/>
      <c r="J97" s="132"/>
      <c r="K97" s="132"/>
      <c r="L97" s="132"/>
      <c r="M97" s="132"/>
      <c r="N97" s="132"/>
      <c r="O97" s="132"/>
    </row>
    <row r="98" spans="1:15" ht="14.25">
      <c r="A98" s="186" t="s">
        <v>229</v>
      </c>
      <c r="B98" s="186"/>
      <c r="C98" s="186"/>
      <c r="D98" s="186"/>
      <c r="E98" s="186"/>
      <c r="F98" s="186"/>
      <c r="G98" s="186"/>
      <c r="H98" s="186"/>
      <c r="I98" s="146"/>
      <c r="J98" s="146"/>
      <c r="K98" s="146"/>
      <c r="L98" s="146"/>
      <c r="M98" s="146"/>
      <c r="N98" s="146"/>
      <c r="O98" s="146"/>
    </row>
    <row r="99" spans="1:15" ht="15">
      <c r="A99" s="175" t="s">
        <v>235</v>
      </c>
      <c r="B99" s="175"/>
      <c r="C99" s="175"/>
      <c r="D99" s="175"/>
      <c r="E99" s="175"/>
      <c r="F99" s="175"/>
      <c r="G99" s="175"/>
      <c r="H99" s="175"/>
      <c r="I99" s="133"/>
      <c r="J99" s="134"/>
      <c r="K99" s="134"/>
      <c r="L99" s="134"/>
      <c r="M99" s="134"/>
      <c r="N99" s="134"/>
      <c r="O99" s="134"/>
    </row>
    <row r="100" spans="1:15" ht="15">
      <c r="A100" s="176" t="s">
        <v>230</v>
      </c>
      <c r="B100" s="176"/>
      <c r="C100" s="176"/>
      <c r="D100" s="176"/>
      <c r="E100" s="176"/>
      <c r="F100" s="176"/>
      <c r="G100" s="176"/>
      <c r="H100" s="176"/>
      <c r="I100" s="135"/>
      <c r="J100" s="136"/>
      <c r="K100" s="136"/>
      <c r="L100" s="136"/>
      <c r="M100" s="136"/>
      <c r="N100" s="136"/>
      <c r="O100" s="136"/>
    </row>
  </sheetData>
  <mergeCells count="53">
    <mergeCell ref="E21:E23"/>
    <mergeCell ref="H21:H23"/>
    <mergeCell ref="A24:B24"/>
    <mergeCell ref="L37:R37"/>
    <mergeCell ref="E32:F32"/>
    <mergeCell ref="L34:R34"/>
    <mergeCell ref="C32:D32"/>
    <mergeCell ref="L36:R36"/>
    <mergeCell ref="L33:R33"/>
    <mergeCell ref="G21:G23"/>
    <mergeCell ref="A96:H96"/>
    <mergeCell ref="A33:B33"/>
    <mergeCell ref="A46:H46"/>
    <mergeCell ref="C53:G53"/>
    <mergeCell ref="C40:G40"/>
    <mergeCell ref="A34:B44"/>
    <mergeCell ref="C39:G39"/>
    <mergeCell ref="A1:H1"/>
    <mergeCell ref="A2:H2"/>
    <mergeCell ref="A3:H3"/>
    <mergeCell ref="A17:H17"/>
    <mergeCell ref="A19:H19"/>
    <mergeCell ref="E5:H7"/>
    <mergeCell ref="L39:R39"/>
    <mergeCell ref="B20:F20"/>
    <mergeCell ref="A21:B23"/>
    <mergeCell ref="C21:C23"/>
    <mergeCell ref="D21:D23"/>
    <mergeCell ref="L35:R35"/>
    <mergeCell ref="C33:G33"/>
    <mergeCell ref="F21:F23"/>
    <mergeCell ref="A31:H31"/>
    <mergeCell ref="A28:G28"/>
    <mergeCell ref="A98:H98"/>
    <mergeCell ref="A99:H99"/>
    <mergeCell ref="A97:H97"/>
    <mergeCell ref="B63:G63"/>
    <mergeCell ref="A50:B50"/>
    <mergeCell ref="C50:G50"/>
    <mergeCell ref="A51:B55"/>
    <mergeCell ref="C54:G54"/>
    <mergeCell ref="A62:G62"/>
    <mergeCell ref="A94:H94"/>
    <mergeCell ref="A100:H100"/>
    <mergeCell ref="A48:H48"/>
    <mergeCell ref="A58:H58"/>
    <mergeCell ref="A60:H60"/>
    <mergeCell ref="A86:H86"/>
    <mergeCell ref="A88:G88"/>
    <mergeCell ref="A93:H93"/>
    <mergeCell ref="B69:G69"/>
    <mergeCell ref="C55:G55"/>
    <mergeCell ref="B87:H87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97"/>
  <sheetViews>
    <sheetView view="pageBreakPreview" topLeftCell="A75" zoomScaleSheetLayoutView="100" workbookViewId="0">
      <selection activeCell="H60" sqref="H60"/>
    </sheetView>
  </sheetViews>
  <sheetFormatPr defaultRowHeight="12.75"/>
  <cols>
    <col min="1" max="1" width="12.5703125" style="137" customWidth="1"/>
    <col min="2" max="2" width="11.7109375" style="137" customWidth="1"/>
    <col min="3" max="3" width="14" style="137" customWidth="1"/>
    <col min="4" max="4" width="13.42578125" style="137" customWidth="1"/>
    <col min="5" max="5" width="18.42578125" style="137" customWidth="1"/>
    <col min="6" max="6" width="15.28515625" style="137" customWidth="1"/>
    <col min="7" max="7" width="16" style="137" customWidth="1"/>
    <col min="8" max="8" width="14" style="137" customWidth="1"/>
    <col min="9" max="9" width="10.140625" style="137" customWidth="1"/>
    <col min="10" max="10" width="2.5703125" style="137" customWidth="1"/>
    <col min="11" max="12" width="9.140625" style="137"/>
    <col min="13" max="13" width="0.5703125" style="137" customWidth="1"/>
    <col min="14" max="15" width="9.140625" style="137"/>
    <col min="16" max="16" width="1.42578125" style="137" customWidth="1"/>
    <col min="17" max="16384" width="9.140625" style="137"/>
  </cols>
  <sheetData>
    <row r="1" spans="1:16" ht="18">
      <c r="A1" s="234" t="s">
        <v>231</v>
      </c>
      <c r="B1" s="234"/>
      <c r="C1" s="234"/>
      <c r="D1" s="234"/>
      <c r="E1" s="234"/>
      <c r="F1" s="234"/>
      <c r="G1" s="234"/>
      <c r="H1" s="234"/>
      <c r="I1" s="62"/>
      <c r="J1" s="62"/>
      <c r="K1" s="62"/>
      <c r="L1" s="62"/>
      <c r="M1" s="62"/>
      <c r="N1" s="62"/>
      <c r="O1" s="62"/>
    </row>
    <row r="2" spans="1:16" ht="18">
      <c r="A2" s="234" t="s">
        <v>239</v>
      </c>
      <c r="B2" s="234"/>
      <c r="C2" s="234"/>
      <c r="D2" s="234"/>
      <c r="E2" s="234"/>
      <c r="F2" s="234"/>
      <c r="G2" s="234"/>
      <c r="H2" s="234"/>
      <c r="I2" s="62"/>
      <c r="J2" s="62"/>
      <c r="K2" s="62"/>
      <c r="L2" s="62"/>
      <c r="M2" s="62"/>
      <c r="N2" s="62"/>
      <c r="O2" s="62"/>
    </row>
    <row r="3" spans="1:16" ht="18">
      <c r="A3" s="187" t="s">
        <v>21</v>
      </c>
      <c r="B3" s="187"/>
      <c r="C3" s="187"/>
      <c r="D3" s="187"/>
      <c r="E3" s="187"/>
      <c r="F3" s="187"/>
      <c r="G3" s="187"/>
      <c r="H3" s="187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189</v>
      </c>
      <c r="B5" s="65"/>
      <c r="C5" s="65"/>
      <c r="D5" s="65"/>
      <c r="E5" s="189" t="s">
        <v>51</v>
      </c>
      <c r="F5" s="189"/>
      <c r="G5" s="189"/>
      <c r="H5" s="189"/>
      <c r="I5" s="66"/>
      <c r="J5" s="66"/>
    </row>
    <row r="6" spans="1:16" s="67" customFormat="1" ht="14.25">
      <c r="A6" s="65" t="s">
        <v>92</v>
      </c>
      <c r="B6" s="65"/>
      <c r="C6" s="65"/>
      <c r="D6" s="65"/>
      <c r="E6" s="189"/>
      <c r="F6" s="189"/>
      <c r="G6" s="189"/>
      <c r="H6" s="189"/>
      <c r="I6" s="66"/>
      <c r="J6" s="66"/>
    </row>
    <row r="7" spans="1:16" s="67" customFormat="1" ht="27.75" customHeight="1">
      <c r="A7" s="65" t="s">
        <v>7</v>
      </c>
      <c r="B7" s="65"/>
      <c r="C7" s="65"/>
      <c r="D7" s="65"/>
      <c r="E7" s="189"/>
      <c r="F7" s="189"/>
      <c r="G7" s="189"/>
      <c r="H7" s="189"/>
      <c r="I7" s="66"/>
      <c r="J7" s="66"/>
    </row>
    <row r="8" spans="1:16" s="67" customFormat="1" ht="14.25">
      <c r="A8" s="65" t="s">
        <v>6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93</v>
      </c>
      <c r="B9" s="65"/>
      <c r="C9" s="65"/>
      <c r="D9" s="65"/>
      <c r="E9" s="68" t="s">
        <v>208</v>
      </c>
      <c r="F9" s="66"/>
      <c r="G9" s="66"/>
      <c r="H9" s="66"/>
      <c r="I9" s="66"/>
      <c r="J9" s="66"/>
    </row>
    <row r="10" spans="1:16" s="67" customFormat="1" ht="14.25">
      <c r="A10" s="65" t="s">
        <v>115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120</v>
      </c>
      <c r="B11" s="65"/>
      <c r="C11" s="65"/>
      <c r="D11" s="65"/>
      <c r="E11" s="65" t="s">
        <v>209</v>
      </c>
      <c r="F11" s="65"/>
      <c r="G11" s="65" t="s">
        <v>52</v>
      </c>
      <c r="I11" s="65"/>
      <c r="J11" s="65"/>
    </row>
    <row r="12" spans="1:16" s="67" customFormat="1" ht="14.25">
      <c r="A12" s="65" t="s">
        <v>190</v>
      </c>
      <c r="B12" s="65"/>
      <c r="C12" s="65"/>
      <c r="D12" s="65"/>
      <c r="E12" s="65" t="s">
        <v>210</v>
      </c>
      <c r="F12" s="65"/>
      <c r="G12" s="65" t="s">
        <v>246</v>
      </c>
      <c r="I12" s="65"/>
      <c r="J12" s="65"/>
    </row>
    <row r="13" spans="1:16" s="67" customFormat="1" ht="14.25">
      <c r="A13" s="65" t="s">
        <v>185</v>
      </c>
      <c r="B13" s="65"/>
      <c r="C13" s="65"/>
      <c r="D13" s="65"/>
      <c r="E13" s="65" t="s">
        <v>211</v>
      </c>
      <c r="F13" s="65"/>
      <c r="G13" s="65" t="s">
        <v>22</v>
      </c>
      <c r="I13" s="65"/>
      <c r="J13" s="65"/>
    </row>
    <row r="14" spans="1:16" s="67" customFormat="1" ht="14.25">
      <c r="A14" s="65" t="s">
        <v>186</v>
      </c>
      <c r="B14" s="65"/>
      <c r="C14" s="65"/>
      <c r="D14" s="65"/>
      <c r="E14" s="65" t="s">
        <v>212</v>
      </c>
      <c r="F14" s="65"/>
      <c r="G14" s="65" t="s">
        <v>213</v>
      </c>
      <c r="I14" s="65"/>
      <c r="J14" s="65"/>
    </row>
    <row r="15" spans="1:16" s="67" customFormat="1" ht="14.25">
      <c r="A15" s="65" t="s">
        <v>191</v>
      </c>
      <c r="B15" s="65"/>
      <c r="C15" s="65"/>
      <c r="D15" s="65"/>
      <c r="E15" s="65" t="s">
        <v>214</v>
      </c>
      <c r="F15" s="65"/>
      <c r="G15" s="65" t="s">
        <v>53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78" t="s">
        <v>67</v>
      </c>
      <c r="B17" s="178"/>
      <c r="C17" s="178"/>
      <c r="D17" s="178"/>
      <c r="E17" s="178"/>
      <c r="F17" s="178"/>
      <c r="G17" s="178"/>
      <c r="H17" s="178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1" t="s">
        <v>55</v>
      </c>
      <c r="B19" s="181"/>
      <c r="C19" s="181"/>
      <c r="D19" s="181"/>
      <c r="E19" s="181"/>
      <c r="F19" s="181"/>
      <c r="G19" s="181"/>
      <c r="H19" s="181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17"/>
      <c r="C20" s="217"/>
      <c r="D20" s="217"/>
      <c r="E20" s="217"/>
      <c r="F20" s="217"/>
      <c r="G20" s="75"/>
      <c r="H20" s="76" t="s">
        <v>215</v>
      </c>
      <c r="I20" s="76"/>
      <c r="K20" s="72"/>
      <c r="M20" s="72"/>
      <c r="N20" s="72"/>
      <c r="O20" s="77"/>
    </row>
    <row r="21" spans="1:16" s="67" customFormat="1" ht="15" customHeight="1">
      <c r="A21" s="218" t="s">
        <v>216</v>
      </c>
      <c r="B21" s="228"/>
      <c r="C21" s="231" t="s">
        <v>248</v>
      </c>
      <c r="D21" s="231" t="s">
        <v>217</v>
      </c>
      <c r="E21" s="236" t="s">
        <v>9</v>
      </c>
      <c r="F21" s="218" t="s">
        <v>247</v>
      </c>
      <c r="G21" s="202" t="s">
        <v>218</v>
      </c>
      <c r="H21" s="188" t="s">
        <v>219</v>
      </c>
      <c r="I21" s="78"/>
    </row>
    <row r="22" spans="1:16" s="67" customFormat="1" ht="15" customHeight="1">
      <c r="A22" s="219"/>
      <c r="B22" s="229"/>
      <c r="C22" s="232"/>
      <c r="D22" s="232"/>
      <c r="E22" s="237"/>
      <c r="F22" s="219"/>
      <c r="G22" s="203"/>
      <c r="H22" s="188"/>
      <c r="I22" s="78"/>
    </row>
    <row r="23" spans="1:16" s="67" customFormat="1" ht="75" customHeight="1">
      <c r="A23" s="220"/>
      <c r="B23" s="230"/>
      <c r="C23" s="233"/>
      <c r="D23" s="233"/>
      <c r="E23" s="238"/>
      <c r="F23" s="220"/>
      <c r="G23" s="204"/>
      <c r="H23" s="188"/>
      <c r="I23" s="78"/>
    </row>
    <row r="24" spans="1:16" s="81" customFormat="1" ht="14.25">
      <c r="A24" s="239">
        <v>-76045</v>
      </c>
      <c r="B24" s="240"/>
      <c r="C24" s="138">
        <v>107949.72000000002</v>
      </c>
      <c r="D24" s="139">
        <v>103159.09</v>
      </c>
      <c r="E24" s="139">
        <v>35456.880000000005</v>
      </c>
      <c r="F24" s="138">
        <f>C24-D24</f>
        <v>4790.6300000000192</v>
      </c>
      <c r="G24" s="140">
        <v>185324</v>
      </c>
      <c r="H24" s="141">
        <f>A24+D24+E24-G24</f>
        <v>-122753.03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68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250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78" t="s">
        <v>243</v>
      </c>
      <c r="B28" s="178"/>
      <c r="C28" s="178"/>
      <c r="D28" s="178"/>
      <c r="E28" s="178"/>
      <c r="F28" s="178"/>
      <c r="G28" s="178"/>
      <c r="H28" s="178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2" customFormat="1" ht="15.75">
      <c r="A31" s="177" t="s">
        <v>220</v>
      </c>
      <c r="B31" s="177"/>
      <c r="C31" s="177"/>
      <c r="D31" s="177"/>
      <c r="E31" s="177"/>
      <c r="F31" s="177"/>
      <c r="G31" s="177"/>
      <c r="H31" s="177"/>
      <c r="I31" s="86"/>
      <c r="J31" s="86"/>
    </row>
    <row r="32" spans="1:16" s="142" customFormat="1">
      <c r="A32" s="87"/>
      <c r="B32" s="143"/>
      <c r="C32" s="241"/>
      <c r="D32" s="241"/>
      <c r="E32" s="242"/>
      <c r="F32" s="242"/>
      <c r="G32" s="143"/>
      <c r="H32" s="88" t="s">
        <v>221</v>
      </c>
      <c r="I32" s="88"/>
    </row>
    <row r="33" spans="1:18" s="142" customFormat="1" ht="15.75">
      <c r="A33" s="183" t="s">
        <v>111</v>
      </c>
      <c r="B33" s="184"/>
      <c r="C33" s="211" t="s">
        <v>41</v>
      </c>
      <c r="D33" s="212"/>
      <c r="E33" s="212"/>
      <c r="F33" s="212"/>
      <c r="G33" s="213"/>
      <c r="H33" s="89" t="s">
        <v>222</v>
      </c>
      <c r="L33" s="90"/>
      <c r="M33" s="90"/>
      <c r="N33" s="90"/>
      <c r="O33" s="90"/>
      <c r="P33" s="90"/>
      <c r="Q33" s="90"/>
      <c r="R33" s="90"/>
    </row>
    <row r="34" spans="1:18" s="142" customFormat="1" ht="15" customHeight="1">
      <c r="A34" s="196" t="s">
        <v>240</v>
      </c>
      <c r="B34" s="197"/>
      <c r="C34" s="113" t="s">
        <v>85</v>
      </c>
      <c r="D34" s="91"/>
      <c r="E34" s="91"/>
      <c r="F34" s="91"/>
      <c r="G34" s="91"/>
      <c r="H34" s="102">
        <f>111200</f>
        <v>111200</v>
      </c>
      <c r="L34" s="90"/>
      <c r="M34" s="90"/>
      <c r="N34" s="90"/>
      <c r="O34" s="90"/>
      <c r="P34" s="90"/>
      <c r="Q34" s="90"/>
      <c r="R34" s="90"/>
    </row>
    <row r="35" spans="1:18" s="142" customFormat="1" ht="15" customHeight="1">
      <c r="A35" s="198"/>
      <c r="B35" s="199"/>
      <c r="C35" s="113" t="s">
        <v>88</v>
      </c>
      <c r="D35" s="91"/>
      <c r="E35" s="91"/>
      <c r="F35" s="91"/>
      <c r="G35" s="91"/>
      <c r="H35" s="102">
        <f>232+6075</f>
        <v>6307</v>
      </c>
      <c r="L35" s="90"/>
      <c r="M35" s="90"/>
      <c r="N35" s="90"/>
      <c r="O35" s="90"/>
      <c r="P35" s="90"/>
      <c r="Q35" s="90"/>
      <c r="R35" s="90"/>
    </row>
    <row r="36" spans="1:18" s="142" customFormat="1" ht="14.25">
      <c r="A36" s="198"/>
      <c r="B36" s="199"/>
      <c r="C36" s="113" t="s">
        <v>91</v>
      </c>
      <c r="D36" s="91"/>
      <c r="E36" s="91"/>
      <c r="F36" s="91"/>
      <c r="G36" s="91"/>
      <c r="H36" s="102">
        <f>963+4208</f>
        <v>5171</v>
      </c>
    </row>
    <row r="37" spans="1:18" s="142" customFormat="1" ht="15" customHeight="1">
      <c r="A37" s="198"/>
      <c r="B37" s="199"/>
      <c r="C37" s="113" t="s">
        <v>249</v>
      </c>
      <c r="D37" s="91"/>
      <c r="E37" s="91"/>
      <c r="F37" s="91"/>
      <c r="G37" s="91"/>
      <c r="H37" s="102">
        <f>4125+58521</f>
        <v>62646</v>
      </c>
    </row>
    <row r="38" spans="1:18" s="142" customFormat="1" ht="15">
      <c r="A38" s="198"/>
      <c r="B38" s="199"/>
      <c r="C38" s="92"/>
      <c r="D38" s="93"/>
      <c r="E38" s="93"/>
      <c r="F38" s="93"/>
      <c r="G38" s="93"/>
      <c r="H38" s="94">
        <f>SUM(H34:H37)</f>
        <v>185324</v>
      </c>
      <c r="L38" s="144"/>
    </row>
    <row r="39" spans="1:18" s="142" customFormat="1" ht="15.75">
      <c r="A39" s="198"/>
      <c r="B39" s="199"/>
      <c r="C39" s="209" t="s">
        <v>42</v>
      </c>
      <c r="D39" s="245"/>
      <c r="E39" s="245"/>
      <c r="F39" s="245"/>
      <c r="G39" s="210"/>
      <c r="H39" s="163"/>
    </row>
    <row r="40" spans="1:18" s="142" customFormat="1" ht="15.75">
      <c r="A40" s="198"/>
      <c r="B40" s="199"/>
      <c r="C40" s="113" t="s">
        <v>85</v>
      </c>
      <c r="D40" s="156"/>
      <c r="E40" s="156"/>
      <c r="F40" s="156"/>
      <c r="G40" s="156"/>
      <c r="H40" s="163">
        <f>15000</f>
        <v>15000</v>
      </c>
    </row>
    <row r="41" spans="1:18" s="142" customFormat="1" ht="15.75">
      <c r="A41" s="198"/>
      <c r="B41" s="199"/>
      <c r="C41" s="113" t="s">
        <v>249</v>
      </c>
      <c r="D41" s="164"/>
      <c r="E41" s="164"/>
      <c r="F41" s="164"/>
      <c r="G41" s="164"/>
      <c r="H41" s="102">
        <f>19728</f>
        <v>19728</v>
      </c>
    </row>
    <row r="42" spans="1:18" s="142" customFormat="1" ht="15.75">
      <c r="A42" s="200"/>
      <c r="B42" s="201"/>
      <c r="C42" s="113" t="s">
        <v>87</v>
      </c>
      <c r="D42" s="164"/>
      <c r="E42" s="164"/>
      <c r="F42" s="164"/>
      <c r="G42" s="164"/>
      <c r="H42" s="102">
        <f>24004</f>
        <v>24004</v>
      </c>
    </row>
    <row r="43" spans="1:18">
      <c r="A43" s="95"/>
      <c r="B43" s="95"/>
      <c r="C43" s="95"/>
      <c r="D43" s="95"/>
      <c r="E43" s="96"/>
      <c r="F43" s="96"/>
      <c r="G43" s="96"/>
      <c r="H43" s="96"/>
      <c r="I43" s="96"/>
      <c r="J43" s="96"/>
    </row>
    <row r="44" spans="1:18" ht="42.75" customHeight="1">
      <c r="A44" s="178" t="s">
        <v>69</v>
      </c>
      <c r="B44" s="178"/>
      <c r="C44" s="178"/>
      <c r="D44" s="178"/>
      <c r="E44" s="178"/>
      <c r="F44" s="178"/>
      <c r="G44" s="178"/>
      <c r="H44" s="178"/>
      <c r="I44" s="66"/>
      <c r="J44" s="66"/>
    </row>
    <row r="45" spans="1:18">
      <c r="A45" s="95"/>
      <c r="B45" s="95"/>
      <c r="C45" s="95"/>
      <c r="D45" s="95"/>
      <c r="E45" s="96"/>
      <c r="F45" s="96"/>
      <c r="G45" s="96"/>
      <c r="H45" s="96"/>
      <c r="I45" s="96"/>
      <c r="J45" s="96"/>
    </row>
    <row r="46" spans="1:18" ht="33" customHeight="1">
      <c r="A46" s="179" t="s">
        <v>43</v>
      </c>
      <c r="B46" s="179"/>
      <c r="C46" s="179"/>
      <c r="D46" s="179"/>
      <c r="E46" s="179"/>
      <c r="F46" s="179"/>
      <c r="G46" s="179"/>
      <c r="H46" s="179"/>
      <c r="I46" s="97"/>
      <c r="J46" s="97"/>
      <c r="K46" s="74"/>
      <c r="L46" s="74"/>
      <c r="M46" s="74"/>
      <c r="N46" s="74"/>
      <c r="O46" s="74"/>
      <c r="P46" s="74"/>
    </row>
    <row r="47" spans="1:18" ht="15">
      <c r="A47" s="98"/>
      <c r="B47" s="98"/>
      <c r="C47" s="98"/>
      <c r="D47" s="98"/>
      <c r="E47" s="98"/>
      <c r="F47" s="98"/>
      <c r="G47" s="98"/>
      <c r="H47" s="99" t="s">
        <v>223</v>
      </c>
      <c r="J47" s="98"/>
      <c r="M47" s="98"/>
      <c r="N47" s="98"/>
      <c r="O47" s="98"/>
      <c r="P47" s="98"/>
    </row>
    <row r="48" spans="1:18" ht="15.75">
      <c r="A48" s="211" t="s">
        <v>111</v>
      </c>
      <c r="B48" s="213"/>
      <c r="C48" s="211" t="s">
        <v>41</v>
      </c>
      <c r="D48" s="212"/>
      <c r="E48" s="212"/>
      <c r="F48" s="212"/>
      <c r="G48" s="213"/>
      <c r="H48" s="89" t="s">
        <v>222</v>
      </c>
      <c r="I48" s="98"/>
      <c r="J48" s="98"/>
      <c r="K48" s="98"/>
      <c r="L48" s="98"/>
    </row>
    <row r="49" spans="1:17" ht="15" customHeight="1">
      <c r="A49" s="196" t="s">
        <v>240</v>
      </c>
      <c r="B49" s="197"/>
      <c r="C49" s="113" t="s">
        <v>133</v>
      </c>
      <c r="D49" s="100"/>
      <c r="E49" s="100"/>
      <c r="F49" s="100"/>
      <c r="G49" s="101"/>
      <c r="H49" s="102">
        <f>H70</f>
        <v>7865.3540493917008</v>
      </c>
      <c r="I49" s="98"/>
      <c r="J49" s="98"/>
      <c r="K49" s="98"/>
      <c r="L49" s="98"/>
    </row>
    <row r="50" spans="1:17" ht="15" customHeight="1">
      <c r="A50" s="198"/>
      <c r="B50" s="199"/>
      <c r="C50" s="67" t="s">
        <v>30</v>
      </c>
      <c r="D50" s="100"/>
      <c r="E50" s="100"/>
      <c r="F50" s="100"/>
      <c r="G50" s="101"/>
      <c r="H50" s="102">
        <f>661+661</f>
        <v>1322</v>
      </c>
      <c r="I50" s="98"/>
      <c r="J50" s="98"/>
      <c r="K50" s="98"/>
      <c r="L50" s="98"/>
    </row>
    <row r="51" spans="1:17" ht="15">
      <c r="A51" s="198"/>
      <c r="B51" s="199"/>
      <c r="C51" s="190" t="s">
        <v>25</v>
      </c>
      <c r="D51" s="191"/>
      <c r="E51" s="191"/>
      <c r="F51" s="191"/>
      <c r="G51" s="192"/>
      <c r="H51" s="150">
        <f>2743+3369</f>
        <v>6112</v>
      </c>
      <c r="I51" s="98"/>
      <c r="J51" s="98"/>
      <c r="K51" s="98"/>
      <c r="L51" s="98"/>
    </row>
    <row r="52" spans="1:17" ht="15.75">
      <c r="A52" s="198"/>
      <c r="B52" s="199"/>
      <c r="C52" s="211" t="s">
        <v>42</v>
      </c>
      <c r="D52" s="212"/>
      <c r="E52" s="212"/>
      <c r="F52" s="212"/>
      <c r="G52" s="213"/>
      <c r="H52" s="158"/>
      <c r="I52" s="98"/>
      <c r="J52" s="98"/>
      <c r="K52" s="98"/>
      <c r="L52" s="98"/>
    </row>
    <row r="53" spans="1:17" ht="14.25">
      <c r="A53" s="200"/>
      <c r="B53" s="201"/>
      <c r="C53" s="243" t="s">
        <v>224</v>
      </c>
      <c r="D53" s="214"/>
      <c r="E53" s="214"/>
      <c r="F53" s="214"/>
      <c r="G53" s="215"/>
      <c r="H53" s="102">
        <v>6088.12</v>
      </c>
      <c r="I53" s="96"/>
      <c r="J53" s="96"/>
    </row>
    <row r="54" spans="1:17">
      <c r="A54" s="90" t="s">
        <v>192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7" ht="18" customHeight="1">
      <c r="A55" s="180" t="s">
        <v>110</v>
      </c>
      <c r="B55" s="180"/>
      <c r="C55" s="180"/>
      <c r="D55" s="180"/>
      <c r="E55" s="180"/>
      <c r="F55" s="180"/>
      <c r="G55" s="180"/>
      <c r="H55" s="180"/>
      <c r="I55" s="105"/>
      <c r="J55" s="105"/>
    </row>
    <row r="56" spans="1:17" ht="12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7" ht="15.75">
      <c r="A57" s="181" t="s">
        <v>108</v>
      </c>
      <c r="B57" s="181"/>
      <c r="C57" s="181"/>
      <c r="D57" s="181"/>
      <c r="E57" s="181"/>
      <c r="F57" s="181"/>
      <c r="G57" s="181"/>
      <c r="H57" s="181"/>
      <c r="I57" s="74"/>
      <c r="J57" s="74"/>
    </row>
    <row r="58" spans="1:17" ht="15.75">
      <c r="A58" s="106"/>
      <c r="B58" s="106"/>
      <c r="C58" s="106"/>
      <c r="D58" s="106"/>
      <c r="E58" s="106"/>
      <c r="F58" s="106"/>
      <c r="G58" s="106"/>
      <c r="H58" s="99" t="s">
        <v>225</v>
      </c>
      <c r="J58" s="106"/>
    </row>
    <row r="59" spans="1:17" ht="15.75">
      <c r="A59" s="223" t="s">
        <v>109</v>
      </c>
      <c r="B59" s="223"/>
      <c r="C59" s="223"/>
      <c r="D59" s="223"/>
      <c r="E59" s="223"/>
      <c r="F59" s="223"/>
      <c r="G59" s="224"/>
      <c r="H59" s="107">
        <f>SUM(H68:H81)+H61+H67</f>
        <v>1225716.8043768287</v>
      </c>
      <c r="I59" s="108"/>
      <c r="J59" s="108"/>
    </row>
    <row r="60" spans="1:17" ht="15">
      <c r="A60" s="109" t="s">
        <v>97</v>
      </c>
      <c r="B60" s="225" t="s">
        <v>98</v>
      </c>
      <c r="C60" s="226"/>
      <c r="D60" s="226"/>
      <c r="E60" s="226"/>
      <c r="F60" s="226"/>
      <c r="G60" s="227"/>
      <c r="H60" s="110" t="s">
        <v>99</v>
      </c>
      <c r="I60" s="111"/>
    </row>
    <row r="61" spans="1:17" ht="15.75">
      <c r="A61" s="112" t="s">
        <v>100</v>
      </c>
      <c r="B61" s="113" t="s">
        <v>101</v>
      </c>
      <c r="C61" s="91"/>
      <c r="D61" s="91"/>
      <c r="E61" s="91"/>
      <c r="F61" s="91"/>
      <c r="G61" s="91"/>
      <c r="H61" s="94">
        <f>SUM(H62:H66)</f>
        <v>121113.82545678811</v>
      </c>
      <c r="I61" s="75"/>
      <c r="K61" s="104"/>
    </row>
    <row r="62" spans="1:17" ht="15">
      <c r="A62" s="112"/>
      <c r="B62" s="113" t="s">
        <v>38</v>
      </c>
      <c r="C62" s="91"/>
      <c r="D62" s="91"/>
      <c r="E62" s="91"/>
      <c r="F62" s="91"/>
      <c r="G62" s="91"/>
      <c r="H62" s="102">
        <f>98+5877</f>
        <v>5975</v>
      </c>
      <c r="I62" s="75"/>
      <c r="K62" s="244"/>
      <c r="L62" s="244"/>
      <c r="M62" s="244"/>
      <c r="N62" s="244"/>
      <c r="O62" s="244"/>
      <c r="P62" s="244"/>
      <c r="Q62" s="244"/>
    </row>
    <row r="63" spans="1:17" ht="15">
      <c r="A63" s="112"/>
      <c r="B63" s="113" t="s">
        <v>251</v>
      </c>
      <c r="C63" s="91"/>
      <c r="D63" s="91"/>
      <c r="E63" s="91"/>
      <c r="F63" s="91"/>
      <c r="G63" s="91"/>
      <c r="H63" s="102">
        <f>2471+45377</f>
        <v>47848</v>
      </c>
      <c r="I63" s="75"/>
      <c r="K63" s="155"/>
      <c r="L63" s="155"/>
      <c r="M63" s="155"/>
      <c r="N63" s="155"/>
      <c r="O63" s="155"/>
      <c r="P63" s="155"/>
      <c r="Q63" s="155"/>
    </row>
    <row r="64" spans="1:17" ht="15">
      <c r="A64" s="112"/>
      <c r="B64" s="113" t="s">
        <v>0</v>
      </c>
      <c r="C64" s="91"/>
      <c r="D64" s="91"/>
      <c r="E64" s="91"/>
      <c r="F64" s="91"/>
      <c r="G64" s="91"/>
      <c r="H64" s="102">
        <f>229+2157</f>
        <v>2386</v>
      </c>
      <c r="I64" s="75"/>
      <c r="K64" s="244"/>
      <c r="L64" s="244"/>
      <c r="M64" s="244"/>
      <c r="N64" s="244"/>
      <c r="O64" s="244"/>
      <c r="P64" s="244"/>
      <c r="Q64" s="244"/>
    </row>
    <row r="65" spans="1:22" ht="15">
      <c r="A65" s="112"/>
      <c r="B65" s="113" t="s">
        <v>26</v>
      </c>
      <c r="C65" s="91"/>
      <c r="D65" s="91"/>
      <c r="E65" s="91"/>
      <c r="F65" s="91"/>
      <c r="G65" s="91"/>
      <c r="H65" s="102">
        <f>1438+1650</f>
        <v>3088</v>
      </c>
      <c r="I65" s="75"/>
      <c r="K65" s="244"/>
      <c r="L65" s="244"/>
      <c r="M65" s="244"/>
      <c r="N65" s="244"/>
      <c r="O65" s="244"/>
      <c r="P65" s="244"/>
      <c r="Q65" s="244"/>
    </row>
    <row r="66" spans="1:22" ht="47.25" customHeight="1">
      <c r="A66" s="112"/>
      <c r="B66" s="206" t="s">
        <v>15</v>
      </c>
      <c r="C66" s="207"/>
      <c r="D66" s="207"/>
      <c r="E66" s="207"/>
      <c r="F66" s="207"/>
      <c r="G66" s="207"/>
      <c r="H66" s="102">
        <f>Основное!$D$5*Основное!I32</f>
        <v>61816.825456788109</v>
      </c>
      <c r="I66" s="75"/>
      <c r="K66" s="244"/>
      <c r="L66" s="244"/>
      <c r="M66" s="244"/>
      <c r="N66" s="244"/>
      <c r="O66" s="244"/>
      <c r="P66" s="244"/>
      <c r="Q66" s="244"/>
    </row>
    <row r="67" spans="1:22" ht="15">
      <c r="A67" s="112" t="s">
        <v>102</v>
      </c>
      <c r="B67" s="113" t="s">
        <v>139</v>
      </c>
      <c r="C67" s="91"/>
      <c r="D67" s="91"/>
      <c r="E67" s="91"/>
      <c r="F67" s="91"/>
      <c r="G67" s="91"/>
      <c r="H67" s="102">
        <f>Основное!$D$5*Основное!I33+H34</f>
        <v>115094.23276613285</v>
      </c>
      <c r="I67" s="75"/>
      <c r="K67" s="244"/>
      <c r="L67" s="244"/>
      <c r="M67" s="244"/>
      <c r="N67" s="244"/>
      <c r="O67" s="244"/>
      <c r="P67" s="244"/>
      <c r="Q67" s="244"/>
    </row>
    <row r="68" spans="1:22" ht="15">
      <c r="A68" s="112" t="s">
        <v>268</v>
      </c>
      <c r="B68" s="61" t="s">
        <v>267</v>
      </c>
      <c r="C68" s="91"/>
      <c r="D68" s="91"/>
      <c r="E68" s="91"/>
      <c r="F68" s="91"/>
      <c r="G68" s="91"/>
      <c r="H68" s="102">
        <f>Основное!$D$5*Основное!I34</f>
        <v>8321.0264065181782</v>
      </c>
      <c r="I68" s="75"/>
      <c r="K68" s="155"/>
      <c r="L68" s="155"/>
      <c r="M68" s="155"/>
      <c r="N68" s="155"/>
      <c r="O68" s="155"/>
      <c r="P68" s="155"/>
      <c r="Q68" s="155"/>
    </row>
    <row r="69" spans="1:22" ht="14.25">
      <c r="A69" s="112" t="s">
        <v>269</v>
      </c>
      <c r="B69" s="113" t="s">
        <v>103</v>
      </c>
      <c r="C69" s="91"/>
      <c r="D69" s="91"/>
      <c r="E69" s="91"/>
      <c r="F69" s="91"/>
      <c r="G69" s="91"/>
      <c r="H69" s="102">
        <f>Основное!$D$5*Основное!I35</f>
        <v>44082.779052928207</v>
      </c>
      <c r="I69" s="114"/>
      <c r="J69" s="114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</row>
    <row r="70" spans="1:22" ht="14.25">
      <c r="A70" s="112" t="s">
        <v>265</v>
      </c>
      <c r="B70" s="113" t="s">
        <v>266</v>
      </c>
      <c r="C70" s="91"/>
      <c r="D70" s="91"/>
      <c r="E70" s="91"/>
      <c r="F70" s="91"/>
      <c r="G70" s="91"/>
      <c r="H70" s="102">
        <f>Основное!$D$5*Основное!I36</f>
        <v>7865.3540493917008</v>
      </c>
      <c r="I70" s="114"/>
      <c r="J70" s="114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</row>
    <row r="71" spans="1:22" ht="15">
      <c r="A71" s="112" t="s">
        <v>270</v>
      </c>
      <c r="B71" s="113" t="s">
        <v>263</v>
      </c>
      <c r="C71" s="91"/>
      <c r="D71" s="91"/>
      <c r="E71" s="91"/>
      <c r="F71" s="91"/>
      <c r="G71" s="91"/>
      <c r="H71" s="102">
        <f>Основное!$D$5*Основное!I37</f>
        <v>72592.752964578409</v>
      </c>
      <c r="I71" s="75"/>
    </row>
    <row r="72" spans="1:22" ht="15">
      <c r="A72" s="112" t="s">
        <v>271</v>
      </c>
      <c r="B72" s="113" t="s">
        <v>264</v>
      </c>
      <c r="C72" s="91"/>
      <c r="D72" s="91"/>
      <c r="E72" s="91"/>
      <c r="F72" s="91"/>
      <c r="G72" s="91"/>
      <c r="H72" s="102">
        <f>Основное!$D$5*Основное!I38</f>
        <v>5244.8443184339785</v>
      </c>
      <c r="I72" s="75"/>
    </row>
    <row r="73" spans="1:22" ht="15">
      <c r="A73" s="112" t="s">
        <v>272</v>
      </c>
      <c r="B73" s="113" t="s">
        <v>104</v>
      </c>
      <c r="C73" s="91"/>
      <c r="D73" s="91"/>
      <c r="E73" s="91"/>
      <c r="F73" s="91"/>
      <c r="G73" s="91"/>
      <c r="H73" s="102">
        <f>Основное!$D$5*Основное!I39</f>
        <v>70469.119845877358</v>
      </c>
      <c r="I73" s="75"/>
    </row>
    <row r="74" spans="1:22" ht="15">
      <c r="A74" s="112" t="s">
        <v>273</v>
      </c>
      <c r="B74" s="113" t="s">
        <v>135</v>
      </c>
      <c r="C74" s="91"/>
      <c r="D74" s="91"/>
      <c r="E74" s="91"/>
      <c r="F74" s="91"/>
      <c r="G74" s="91"/>
      <c r="H74" s="102">
        <f>Основное!$D$5*Основное!I40</f>
        <v>168958.81522704504</v>
      </c>
      <c r="I74" s="75"/>
    </row>
    <row r="75" spans="1:22" ht="15">
      <c r="A75" s="112" t="s">
        <v>274</v>
      </c>
      <c r="B75" s="113" t="s">
        <v>140</v>
      </c>
      <c r="C75" s="91"/>
      <c r="D75" s="91"/>
      <c r="E75" s="91"/>
      <c r="F75" s="91"/>
      <c r="G75" s="91"/>
      <c r="H75" s="102">
        <f>Основное!$D$5*Основное!I41</f>
        <v>20175.059165754319</v>
      </c>
      <c r="I75" s="75"/>
    </row>
    <row r="76" spans="1:22" ht="15">
      <c r="A76" s="112" t="s">
        <v>275</v>
      </c>
      <c r="B76" s="113" t="s">
        <v>132</v>
      </c>
      <c r="C76" s="91"/>
      <c r="D76" s="91"/>
      <c r="E76" s="91"/>
      <c r="F76" s="91"/>
      <c r="G76" s="91"/>
      <c r="H76" s="102">
        <f>Основное!$D$5*Основное!I42</f>
        <v>10476.027406527202</v>
      </c>
      <c r="I76" s="75"/>
    </row>
    <row r="77" spans="1:22" ht="15">
      <c r="A77" s="112" t="s">
        <v>276</v>
      </c>
      <c r="B77" s="113" t="s">
        <v>138</v>
      </c>
      <c r="C77" s="91"/>
      <c r="D77" s="91"/>
      <c r="E77" s="91"/>
      <c r="F77" s="91"/>
      <c r="G77" s="91"/>
      <c r="H77" s="102">
        <f>Основное!$D$5*Основное!I43</f>
        <v>3859.6794678714655</v>
      </c>
      <c r="I77" s="75"/>
    </row>
    <row r="78" spans="1:22" ht="15">
      <c r="A78" s="112" t="s">
        <v>277</v>
      </c>
      <c r="B78" s="113" t="s">
        <v>105</v>
      </c>
      <c r="C78" s="91"/>
      <c r="D78" s="91"/>
      <c r="E78" s="91"/>
      <c r="F78" s="91"/>
      <c r="G78" s="91"/>
      <c r="H78" s="102">
        <f>Основное!$D$5*Основное!I44</f>
        <v>456112.37270440563</v>
      </c>
      <c r="I78" s="75"/>
    </row>
    <row r="79" spans="1:22" ht="15">
      <c r="A79" s="112" t="s">
        <v>278</v>
      </c>
      <c r="B79" s="113" t="s">
        <v>131</v>
      </c>
      <c r="C79" s="91"/>
      <c r="D79" s="91"/>
      <c r="E79" s="91"/>
      <c r="F79" s="91"/>
      <c r="G79" s="91"/>
      <c r="H79" s="102">
        <f>Основное!$D$5*Основное!I45</f>
        <v>92134.699286289921</v>
      </c>
      <c r="I79" s="75"/>
    </row>
    <row r="80" spans="1:22" ht="15">
      <c r="A80" s="112" t="s">
        <v>279</v>
      </c>
      <c r="B80" s="113" t="s">
        <v>127</v>
      </c>
      <c r="C80" s="91"/>
      <c r="D80" s="91"/>
      <c r="E80" s="91"/>
      <c r="F80" s="91"/>
      <c r="G80" s="91"/>
      <c r="H80" s="102">
        <f>Основное!$D$5*Основное!I46</f>
        <v>13706.31835676467</v>
      </c>
      <c r="I80" s="75"/>
    </row>
    <row r="81" spans="1:15" ht="15">
      <c r="A81" s="112" t="s">
        <v>280</v>
      </c>
      <c r="B81" s="113" t="s">
        <v>44</v>
      </c>
      <c r="C81" s="91"/>
      <c r="D81" s="91"/>
      <c r="E81" s="91"/>
      <c r="F81" s="91"/>
      <c r="G81" s="91"/>
      <c r="H81" s="102">
        <f>Основное!$D$5*Основное!I47</f>
        <v>15509.89790152175</v>
      </c>
      <c r="I81" s="75"/>
    </row>
    <row r="82" spans="1:15">
      <c r="A82" s="116"/>
      <c r="B82" s="116"/>
      <c r="C82" s="116"/>
      <c r="D82" s="116"/>
      <c r="E82" s="116"/>
      <c r="F82" s="116"/>
      <c r="G82" s="116"/>
      <c r="H82" s="117"/>
      <c r="I82" s="114"/>
      <c r="J82" s="114"/>
    </row>
    <row r="83" spans="1:15" s="142" customFormat="1" ht="26.25" customHeight="1">
      <c r="A83" s="182" t="s">
        <v>13</v>
      </c>
      <c r="B83" s="182"/>
      <c r="C83" s="182"/>
      <c r="D83" s="182"/>
      <c r="E83" s="182"/>
      <c r="F83" s="182"/>
      <c r="G83" s="182"/>
      <c r="H83" s="182"/>
      <c r="I83" s="118"/>
      <c r="J83" s="118"/>
      <c r="K83" s="82"/>
    </row>
    <row r="84" spans="1:15" s="142" customFormat="1">
      <c r="A84" s="119"/>
      <c r="B84" s="208"/>
      <c r="C84" s="208"/>
      <c r="D84" s="208"/>
      <c r="E84" s="208"/>
      <c r="F84" s="208"/>
      <c r="G84" s="208"/>
      <c r="H84" s="208"/>
      <c r="I84" s="120"/>
      <c r="J84" s="120"/>
    </row>
    <row r="85" spans="1:15" s="142" customFormat="1" ht="15.75">
      <c r="A85" s="177" t="s">
        <v>254</v>
      </c>
      <c r="B85" s="177"/>
      <c r="C85" s="177"/>
      <c r="D85" s="177"/>
      <c r="E85" s="177"/>
      <c r="F85" s="177"/>
      <c r="G85" s="177"/>
      <c r="I85" s="119"/>
    </row>
    <row r="86" spans="1:15" s="142" customFormat="1" ht="15.75">
      <c r="A86" s="111"/>
      <c r="B86" s="111"/>
      <c r="C86" s="111"/>
      <c r="D86" s="111"/>
      <c r="E86" s="86"/>
      <c r="F86" s="82"/>
      <c r="G86" s="121" t="s">
        <v>226</v>
      </c>
      <c r="H86" s="120"/>
      <c r="I86" s="120"/>
    </row>
    <row r="87" spans="1:15" s="142" customFormat="1" ht="43.5">
      <c r="A87" s="122" t="s">
        <v>257</v>
      </c>
      <c r="B87" s="122" t="s">
        <v>256</v>
      </c>
      <c r="C87" s="123" t="s">
        <v>227</v>
      </c>
      <c r="D87" s="123" t="s">
        <v>228</v>
      </c>
      <c r="E87" s="124" t="s">
        <v>252</v>
      </c>
      <c r="F87" s="124" t="s">
        <v>253</v>
      </c>
      <c r="G87" s="172" t="s">
        <v>281</v>
      </c>
      <c r="J87" s="120"/>
    </row>
    <row r="88" spans="1:15" s="83" customFormat="1" ht="15">
      <c r="A88" s="141">
        <v>1496.88</v>
      </c>
      <c r="B88" s="145">
        <v>6480</v>
      </c>
      <c r="C88" s="139">
        <v>6480</v>
      </c>
      <c r="D88" s="141">
        <v>12000</v>
      </c>
      <c r="E88" s="139">
        <v>6000</v>
      </c>
      <c r="F88" s="139">
        <v>3000</v>
      </c>
      <c r="G88" s="173">
        <f>SUM(A88:F88)</f>
        <v>35456.880000000005</v>
      </c>
      <c r="H88" s="125"/>
      <c r="I88" s="125"/>
      <c r="J88" s="125"/>
    </row>
    <row r="89" spans="1:15" s="142" customFormat="1" ht="15">
      <c r="A89" s="126"/>
      <c r="B89" s="126"/>
      <c r="C89" s="127"/>
      <c r="D89" s="127"/>
      <c r="E89" s="127"/>
      <c r="F89" s="127"/>
      <c r="G89" s="82"/>
      <c r="H89" s="120"/>
      <c r="I89" s="120"/>
      <c r="J89" s="120"/>
    </row>
    <row r="90" spans="1:15" s="142" customFormat="1" ht="95.25" customHeight="1">
      <c r="A90" s="221" t="s">
        <v>45</v>
      </c>
      <c r="B90" s="221"/>
      <c r="C90" s="221"/>
      <c r="D90" s="221"/>
      <c r="E90" s="221"/>
      <c r="F90" s="221"/>
      <c r="G90" s="221"/>
      <c r="H90" s="221"/>
      <c r="I90" s="128"/>
      <c r="J90" s="128"/>
      <c r="K90" s="128"/>
      <c r="L90" s="128"/>
    </row>
    <row r="91" spans="1:15" ht="63.75" customHeight="1">
      <c r="A91" s="222" t="s">
        <v>46</v>
      </c>
      <c r="B91" s="222"/>
      <c r="C91" s="222"/>
      <c r="D91" s="222"/>
      <c r="E91" s="222"/>
      <c r="F91" s="222"/>
      <c r="G91" s="222"/>
      <c r="H91" s="222"/>
      <c r="I91" s="129"/>
      <c r="J91" s="129"/>
      <c r="K91" s="129"/>
      <c r="L91" s="129"/>
      <c r="M91" s="129"/>
      <c r="N91" s="129"/>
      <c r="O91" s="129"/>
    </row>
    <row r="92" spans="1:1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</row>
    <row r="93" spans="1:15" ht="15">
      <c r="A93" s="235" t="s">
        <v>175</v>
      </c>
      <c r="B93" s="235"/>
      <c r="C93" s="235"/>
      <c r="D93" s="235"/>
      <c r="E93" s="235"/>
      <c r="F93" s="235"/>
      <c r="G93" s="235"/>
      <c r="H93" s="235"/>
      <c r="I93" s="131"/>
      <c r="J93" s="132"/>
      <c r="K93" s="132"/>
      <c r="L93" s="132"/>
      <c r="M93" s="132"/>
      <c r="N93" s="132"/>
      <c r="O93" s="132"/>
    </row>
    <row r="94" spans="1:15" ht="15">
      <c r="A94" s="235" t="s">
        <v>234</v>
      </c>
      <c r="B94" s="235"/>
      <c r="C94" s="235"/>
      <c r="D94" s="235"/>
      <c r="E94" s="235"/>
      <c r="F94" s="235"/>
      <c r="G94" s="235"/>
      <c r="H94" s="235"/>
      <c r="I94" s="131"/>
      <c r="J94" s="132"/>
      <c r="K94" s="132"/>
      <c r="L94" s="132"/>
      <c r="M94" s="132"/>
      <c r="N94" s="132"/>
      <c r="O94" s="132"/>
    </row>
    <row r="95" spans="1:15" ht="14.25">
      <c r="A95" s="186" t="s">
        <v>229</v>
      </c>
      <c r="B95" s="186"/>
      <c r="C95" s="186"/>
      <c r="D95" s="186"/>
      <c r="E95" s="186"/>
      <c r="F95" s="186"/>
      <c r="G95" s="186"/>
      <c r="H95" s="186"/>
      <c r="I95" s="146"/>
      <c r="J95" s="146"/>
      <c r="K95" s="146"/>
      <c r="L95" s="146"/>
      <c r="M95" s="146"/>
      <c r="N95" s="146"/>
      <c r="O95" s="146"/>
    </row>
    <row r="96" spans="1:15" ht="15">
      <c r="A96" s="175" t="s">
        <v>235</v>
      </c>
      <c r="B96" s="175"/>
      <c r="C96" s="175"/>
      <c r="D96" s="175"/>
      <c r="E96" s="175"/>
      <c r="F96" s="175"/>
      <c r="G96" s="175"/>
      <c r="H96" s="175"/>
      <c r="I96" s="133"/>
      <c r="J96" s="134"/>
      <c r="K96" s="134"/>
      <c r="L96" s="134"/>
      <c r="M96" s="134"/>
      <c r="N96" s="134"/>
      <c r="O96" s="134"/>
    </row>
    <row r="97" spans="1:15" ht="15">
      <c r="A97" s="176" t="s">
        <v>230</v>
      </c>
      <c r="B97" s="176"/>
      <c r="C97" s="176"/>
      <c r="D97" s="176"/>
      <c r="E97" s="176"/>
      <c r="F97" s="176"/>
      <c r="G97" s="176"/>
      <c r="H97" s="176"/>
      <c r="I97" s="135"/>
      <c r="J97" s="136"/>
      <c r="K97" s="136"/>
      <c r="L97" s="136"/>
      <c r="M97" s="136"/>
      <c r="N97" s="136"/>
      <c r="O97" s="136"/>
    </row>
  </sheetData>
  <mergeCells count="52">
    <mergeCell ref="B66:G66"/>
    <mergeCell ref="C52:G52"/>
    <mergeCell ref="K67:Q67"/>
    <mergeCell ref="K62:Q62"/>
    <mergeCell ref="K65:Q65"/>
    <mergeCell ref="K66:Q66"/>
    <mergeCell ref="K69:V69"/>
    <mergeCell ref="C33:G33"/>
    <mergeCell ref="A46:H46"/>
    <mergeCell ref="C39:G39"/>
    <mergeCell ref="A34:B42"/>
    <mergeCell ref="A44:H44"/>
    <mergeCell ref="A33:B33"/>
    <mergeCell ref="C53:G53"/>
    <mergeCell ref="K64:Q64"/>
    <mergeCell ref="C51:G51"/>
    <mergeCell ref="A21:B23"/>
    <mergeCell ref="A24:B24"/>
    <mergeCell ref="A31:H31"/>
    <mergeCell ref="D21:D23"/>
    <mergeCell ref="C21:C23"/>
    <mergeCell ref="A28:H28"/>
    <mergeCell ref="E32:F32"/>
    <mergeCell ref="C32:D32"/>
    <mergeCell ref="A1:H1"/>
    <mergeCell ref="A2:H2"/>
    <mergeCell ref="A3:H3"/>
    <mergeCell ref="A17:H17"/>
    <mergeCell ref="B20:F20"/>
    <mergeCell ref="A19:H19"/>
    <mergeCell ref="E5:H7"/>
    <mergeCell ref="G21:G23"/>
    <mergeCell ref="A97:H97"/>
    <mergeCell ref="A55:H55"/>
    <mergeCell ref="A57:H57"/>
    <mergeCell ref="A83:H83"/>
    <mergeCell ref="A85:G85"/>
    <mergeCell ref="A91:H91"/>
    <mergeCell ref="B84:H84"/>
    <mergeCell ref="A90:H90"/>
    <mergeCell ref="A93:H93"/>
    <mergeCell ref="A59:G59"/>
    <mergeCell ref="A94:H94"/>
    <mergeCell ref="A95:H95"/>
    <mergeCell ref="A96:H96"/>
    <mergeCell ref="E21:E23"/>
    <mergeCell ref="H21:H23"/>
    <mergeCell ref="F21:F23"/>
    <mergeCell ref="A48:B48"/>
    <mergeCell ref="A49:B53"/>
    <mergeCell ref="C48:G48"/>
    <mergeCell ref="B60:G60"/>
  </mergeCells>
  <phoneticPr fontId="11" type="noConversion"/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92"/>
  <sheetViews>
    <sheetView view="pageBreakPreview" topLeftCell="A72" zoomScaleSheetLayoutView="100" workbookViewId="0">
      <selection activeCell="C84" sqref="C84"/>
    </sheetView>
  </sheetViews>
  <sheetFormatPr defaultRowHeight="12.75"/>
  <cols>
    <col min="1" max="1" width="12.140625" style="137" customWidth="1"/>
    <col min="2" max="2" width="13" style="137" customWidth="1"/>
    <col min="3" max="3" width="12.5703125" style="137" customWidth="1"/>
    <col min="4" max="4" width="11.85546875" style="137" customWidth="1"/>
    <col min="5" max="5" width="17.5703125" style="137" customWidth="1"/>
    <col min="6" max="6" width="14.42578125" style="137" customWidth="1"/>
    <col min="7" max="7" width="21.5703125" style="137" customWidth="1"/>
    <col min="8" max="9" width="12.85546875" style="137" customWidth="1"/>
    <col min="10" max="10" width="3.5703125" style="137" customWidth="1"/>
    <col min="11" max="12" width="9.140625" style="137"/>
    <col min="13" max="13" width="0.5703125" style="137" customWidth="1"/>
    <col min="14" max="15" width="9.140625" style="137"/>
    <col min="16" max="16" width="1.42578125" style="137" customWidth="1"/>
    <col min="17" max="16384" width="9.140625" style="137"/>
  </cols>
  <sheetData>
    <row r="1" spans="1:16" ht="18">
      <c r="A1" s="234" t="s">
        <v>231</v>
      </c>
      <c r="B1" s="234"/>
      <c r="C1" s="234"/>
      <c r="D1" s="234"/>
      <c r="E1" s="234"/>
      <c r="F1" s="234"/>
      <c r="G1" s="234"/>
      <c r="H1" s="234"/>
      <c r="I1" s="62"/>
      <c r="J1" s="62"/>
      <c r="K1" s="62"/>
      <c r="L1" s="62"/>
      <c r="M1" s="62"/>
      <c r="N1" s="62"/>
      <c r="O1" s="62"/>
    </row>
    <row r="2" spans="1:16" ht="18">
      <c r="A2" s="234" t="s">
        <v>27</v>
      </c>
      <c r="B2" s="234"/>
      <c r="C2" s="234"/>
      <c r="D2" s="234"/>
      <c r="E2" s="234"/>
      <c r="F2" s="234"/>
      <c r="G2" s="234"/>
      <c r="H2" s="234"/>
      <c r="I2" s="62"/>
      <c r="J2" s="62"/>
      <c r="K2" s="62"/>
      <c r="L2" s="62"/>
      <c r="M2" s="62"/>
      <c r="N2" s="62"/>
      <c r="O2" s="62"/>
    </row>
    <row r="3" spans="1:16" ht="18">
      <c r="A3" s="187" t="s">
        <v>50</v>
      </c>
      <c r="B3" s="187"/>
      <c r="C3" s="187"/>
      <c r="D3" s="187"/>
      <c r="E3" s="187"/>
      <c r="F3" s="187"/>
      <c r="G3" s="187"/>
      <c r="H3" s="187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193</v>
      </c>
      <c r="B5" s="65"/>
      <c r="C5" s="65"/>
      <c r="D5" s="65"/>
      <c r="E5" s="189" t="s">
        <v>72</v>
      </c>
      <c r="F5" s="189"/>
      <c r="G5" s="189"/>
      <c r="H5" s="189"/>
      <c r="I5" s="66"/>
      <c r="J5" s="66"/>
    </row>
    <row r="6" spans="1:16" s="67" customFormat="1" ht="14.25">
      <c r="A6" s="65" t="s">
        <v>92</v>
      </c>
      <c r="B6" s="65"/>
      <c r="C6" s="65"/>
      <c r="D6" s="65"/>
      <c r="E6" s="189"/>
      <c r="F6" s="189"/>
      <c r="G6" s="189"/>
      <c r="H6" s="189"/>
      <c r="I6" s="66"/>
      <c r="J6" s="66"/>
    </row>
    <row r="7" spans="1:16" s="67" customFormat="1" ht="14.25">
      <c r="A7" s="65" t="s">
        <v>8</v>
      </c>
      <c r="B7" s="65"/>
      <c r="C7" s="65"/>
      <c r="D7" s="65"/>
      <c r="E7" s="189"/>
      <c r="F7" s="189"/>
      <c r="G7" s="189"/>
      <c r="H7" s="189"/>
      <c r="I7" s="66"/>
      <c r="J7" s="66"/>
    </row>
    <row r="8" spans="1:16" s="67" customFormat="1" ht="14.25">
      <c r="A8" s="65" t="s">
        <v>28</v>
      </c>
      <c r="B8" s="65"/>
      <c r="C8" s="65"/>
      <c r="D8" s="65"/>
      <c r="E8" s="189"/>
      <c r="F8" s="189"/>
      <c r="G8" s="189"/>
      <c r="H8" s="189"/>
      <c r="I8" s="68"/>
      <c r="J8" s="68"/>
    </row>
    <row r="9" spans="1:16" s="67" customFormat="1" ht="14.25">
      <c r="A9" s="65" t="s">
        <v>194</v>
      </c>
      <c r="B9" s="65"/>
      <c r="C9" s="65"/>
      <c r="D9" s="65"/>
      <c r="E9" s="68" t="s">
        <v>208</v>
      </c>
      <c r="F9" s="66"/>
      <c r="G9" s="66"/>
      <c r="H9" s="66"/>
      <c r="I9" s="66"/>
      <c r="J9" s="66"/>
    </row>
    <row r="10" spans="1:16" s="67" customFormat="1" ht="14.25">
      <c r="A10" s="65" t="s">
        <v>116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195</v>
      </c>
      <c r="B11" s="65"/>
      <c r="C11" s="65"/>
      <c r="D11" s="65"/>
      <c r="E11" s="65" t="s">
        <v>209</v>
      </c>
      <c r="F11" s="65"/>
      <c r="G11" s="65" t="s">
        <v>70</v>
      </c>
      <c r="H11" s="65"/>
      <c r="I11" s="65"/>
      <c r="J11" s="65"/>
    </row>
    <row r="12" spans="1:16" s="67" customFormat="1" ht="14.25">
      <c r="A12" s="65" t="s">
        <v>196</v>
      </c>
      <c r="B12" s="65"/>
      <c r="C12" s="65"/>
      <c r="D12" s="65"/>
      <c r="E12" s="65" t="s">
        <v>210</v>
      </c>
      <c r="F12" s="65"/>
      <c r="G12" s="65" t="s">
        <v>246</v>
      </c>
      <c r="H12" s="65"/>
      <c r="I12" s="65"/>
      <c r="J12" s="65"/>
    </row>
    <row r="13" spans="1:16" s="67" customFormat="1" ht="14.25">
      <c r="A13" s="65" t="s">
        <v>197</v>
      </c>
      <c r="B13" s="65"/>
      <c r="C13" s="65"/>
      <c r="D13" s="65"/>
      <c r="E13" s="65" t="s">
        <v>211</v>
      </c>
      <c r="F13" s="65"/>
      <c r="G13" s="65" t="s">
        <v>22</v>
      </c>
      <c r="H13" s="65"/>
      <c r="I13" s="65"/>
      <c r="J13" s="65"/>
    </row>
    <row r="14" spans="1:16" s="67" customFormat="1" ht="14.25">
      <c r="A14" s="65" t="s">
        <v>198</v>
      </c>
      <c r="B14" s="65"/>
      <c r="C14" s="65"/>
      <c r="D14" s="65"/>
      <c r="E14" s="65" t="s">
        <v>241</v>
      </c>
      <c r="F14" s="65"/>
      <c r="G14" s="65" t="s">
        <v>71</v>
      </c>
      <c r="H14" s="65"/>
      <c r="I14" s="65"/>
      <c r="J14" s="65"/>
    </row>
    <row r="15" spans="1:16" s="67" customFormat="1" ht="14.25">
      <c r="A15" s="65" t="s">
        <v>199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78" t="s">
        <v>73</v>
      </c>
      <c r="B17" s="178"/>
      <c r="C17" s="178"/>
      <c r="D17" s="178"/>
      <c r="E17" s="178"/>
      <c r="F17" s="178"/>
      <c r="G17" s="178"/>
      <c r="H17" s="178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1" t="s">
        <v>23</v>
      </c>
      <c r="B19" s="181"/>
      <c r="C19" s="181"/>
      <c r="D19" s="181"/>
      <c r="E19" s="181"/>
      <c r="F19" s="181"/>
      <c r="G19" s="181"/>
      <c r="H19" s="181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17"/>
      <c r="C20" s="217"/>
      <c r="D20" s="217"/>
      <c r="E20" s="217"/>
      <c r="F20" s="217"/>
      <c r="G20" s="75"/>
      <c r="H20" s="76" t="s">
        <v>215</v>
      </c>
      <c r="I20" s="76"/>
      <c r="K20" s="72"/>
      <c r="M20" s="72"/>
      <c r="N20" s="72"/>
      <c r="O20" s="77"/>
    </row>
    <row r="21" spans="1:16" s="67" customFormat="1" ht="15" customHeight="1">
      <c r="A21" s="218" t="s">
        <v>216</v>
      </c>
      <c r="B21" s="228"/>
      <c r="C21" s="231" t="s">
        <v>248</v>
      </c>
      <c r="D21" s="231" t="s">
        <v>217</v>
      </c>
      <c r="E21" s="236" t="s">
        <v>9</v>
      </c>
      <c r="F21" s="218" t="s">
        <v>247</v>
      </c>
      <c r="G21" s="202" t="s">
        <v>218</v>
      </c>
      <c r="H21" s="188" t="s">
        <v>219</v>
      </c>
      <c r="I21" s="78"/>
    </row>
    <row r="22" spans="1:16" s="67" customFormat="1" ht="15" customHeight="1">
      <c r="A22" s="219"/>
      <c r="B22" s="229"/>
      <c r="C22" s="232"/>
      <c r="D22" s="232"/>
      <c r="E22" s="237"/>
      <c r="F22" s="219"/>
      <c r="G22" s="203"/>
      <c r="H22" s="188"/>
      <c r="I22" s="78"/>
    </row>
    <row r="23" spans="1:16" s="67" customFormat="1" ht="75" customHeight="1">
      <c r="A23" s="220"/>
      <c r="B23" s="230"/>
      <c r="C23" s="233"/>
      <c r="D23" s="233"/>
      <c r="E23" s="238"/>
      <c r="F23" s="220"/>
      <c r="G23" s="204"/>
      <c r="H23" s="188"/>
      <c r="I23" s="78"/>
    </row>
    <row r="24" spans="1:16" s="81" customFormat="1" ht="14.25">
      <c r="A24" s="239">
        <v>-448761</v>
      </c>
      <c r="B24" s="240"/>
      <c r="C24" s="138">
        <v>52269.3</v>
      </c>
      <c r="D24" s="139">
        <v>46298.659999999996</v>
      </c>
      <c r="E24" s="139">
        <v>7126.2</v>
      </c>
      <c r="F24" s="138">
        <f>C24-D24</f>
        <v>5970.6400000000067</v>
      </c>
      <c r="G24" s="140">
        <v>24754</v>
      </c>
      <c r="H24" s="141">
        <f>A24+D24+E24-G24</f>
        <v>-420090.14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74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250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78" t="s">
        <v>243</v>
      </c>
      <c r="B28" s="178"/>
      <c r="C28" s="178"/>
      <c r="D28" s="178"/>
      <c r="E28" s="178"/>
      <c r="F28" s="178"/>
      <c r="G28" s="178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2" customFormat="1" ht="15.75">
      <c r="A31" s="177" t="s">
        <v>220</v>
      </c>
      <c r="B31" s="177"/>
      <c r="C31" s="177"/>
      <c r="D31" s="177"/>
      <c r="E31" s="177"/>
      <c r="F31" s="177"/>
      <c r="G31" s="177"/>
      <c r="H31" s="177"/>
      <c r="I31" s="86"/>
      <c r="J31" s="86"/>
    </row>
    <row r="32" spans="1:16" s="142" customFormat="1">
      <c r="A32" s="87"/>
      <c r="B32" s="143"/>
      <c r="C32" s="241"/>
      <c r="D32" s="241"/>
      <c r="E32" s="242"/>
      <c r="F32" s="242"/>
      <c r="G32" s="143"/>
      <c r="H32" s="88" t="s">
        <v>221</v>
      </c>
      <c r="I32" s="88"/>
    </row>
    <row r="33" spans="1:23" s="142" customFormat="1" ht="15.75">
      <c r="A33" s="183" t="s">
        <v>111</v>
      </c>
      <c r="B33" s="184"/>
      <c r="C33" s="211" t="s">
        <v>41</v>
      </c>
      <c r="D33" s="212"/>
      <c r="E33" s="212"/>
      <c r="F33" s="212"/>
      <c r="G33" s="213"/>
      <c r="H33" s="89" t="s">
        <v>222</v>
      </c>
      <c r="L33" s="90"/>
      <c r="M33" s="90"/>
      <c r="N33" s="90"/>
      <c r="O33" s="90"/>
      <c r="P33" s="90"/>
      <c r="Q33" s="90"/>
      <c r="R33" s="90"/>
    </row>
    <row r="34" spans="1:23" s="142" customFormat="1" ht="15" customHeight="1">
      <c r="A34" s="196" t="s">
        <v>49</v>
      </c>
      <c r="B34" s="197"/>
      <c r="C34" s="113" t="s">
        <v>249</v>
      </c>
      <c r="D34" s="91"/>
      <c r="E34" s="91"/>
      <c r="F34" s="91"/>
      <c r="G34" s="91"/>
      <c r="H34" s="150">
        <f>9796</f>
        <v>9796</v>
      </c>
      <c r="L34" s="90"/>
      <c r="M34" s="90"/>
      <c r="N34" s="90"/>
      <c r="O34" s="90"/>
      <c r="P34" s="90"/>
      <c r="Q34" s="90"/>
      <c r="R34" s="90"/>
    </row>
    <row r="35" spans="1:23" s="142" customFormat="1" ht="15" customHeight="1">
      <c r="A35" s="198"/>
      <c r="B35" s="199"/>
      <c r="C35" s="113" t="s">
        <v>5</v>
      </c>
      <c r="D35" s="91"/>
      <c r="E35" s="91"/>
      <c r="F35" s="91"/>
      <c r="G35" s="91"/>
      <c r="H35" s="150">
        <f>14958</f>
        <v>14958</v>
      </c>
      <c r="L35" s="90"/>
      <c r="M35" s="90"/>
      <c r="N35" s="90"/>
      <c r="O35" s="90"/>
      <c r="P35" s="90"/>
      <c r="Q35" s="90"/>
      <c r="R35" s="90"/>
    </row>
    <row r="36" spans="1:23" s="142" customFormat="1" ht="15">
      <c r="A36" s="198"/>
      <c r="B36" s="199"/>
      <c r="C36" s="113"/>
      <c r="D36" s="91"/>
      <c r="E36" s="91"/>
      <c r="F36" s="91"/>
      <c r="G36" s="91"/>
      <c r="H36" s="149">
        <f>SUM(H34:H35)</f>
        <v>24754</v>
      </c>
    </row>
    <row r="37" spans="1:23" s="142" customFormat="1" ht="15.75">
      <c r="A37" s="198"/>
      <c r="B37" s="199"/>
      <c r="C37" s="209" t="s">
        <v>42</v>
      </c>
      <c r="D37" s="245"/>
      <c r="E37" s="245"/>
      <c r="F37" s="245"/>
      <c r="G37" s="210"/>
      <c r="H37" s="150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</row>
    <row r="38" spans="1:23" s="142" customFormat="1" ht="15.75" customHeight="1">
      <c r="A38" s="198"/>
      <c r="B38" s="199"/>
      <c r="C38" s="246" t="s">
        <v>83</v>
      </c>
      <c r="D38" s="247"/>
      <c r="E38" s="247"/>
      <c r="F38" s="247"/>
      <c r="G38" s="248"/>
      <c r="H38" s="150">
        <f>4500</f>
        <v>4500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23" s="142" customFormat="1" ht="15.75" customHeight="1">
      <c r="A39" s="200"/>
      <c r="B39" s="201"/>
      <c r="C39" s="113" t="s">
        <v>249</v>
      </c>
      <c r="D39" s="157"/>
      <c r="E39" s="157"/>
      <c r="F39" s="157"/>
      <c r="G39" s="157"/>
      <c r="H39" s="150">
        <f>5364</f>
        <v>5364</v>
      </c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</row>
    <row r="40" spans="1:23">
      <c r="A40" s="95"/>
      <c r="B40" s="95"/>
      <c r="C40" s="95"/>
      <c r="D40" s="95"/>
      <c r="E40" s="96"/>
      <c r="F40" s="96"/>
      <c r="G40" s="96"/>
      <c r="H40" s="96"/>
      <c r="I40" s="96"/>
      <c r="J40" s="96"/>
    </row>
    <row r="41" spans="1:23" ht="42.75" customHeight="1">
      <c r="A41" s="178" t="s">
        <v>75</v>
      </c>
      <c r="B41" s="178"/>
      <c r="C41" s="178"/>
      <c r="D41" s="178"/>
      <c r="E41" s="178"/>
      <c r="F41" s="178"/>
      <c r="G41" s="178"/>
      <c r="H41" s="178"/>
      <c r="I41" s="66"/>
      <c r="J41" s="66"/>
    </row>
    <row r="42" spans="1:23">
      <c r="A42" s="95"/>
      <c r="B42" s="95"/>
      <c r="C42" s="95"/>
      <c r="D42" s="95"/>
      <c r="E42" s="96"/>
      <c r="F42" s="96"/>
      <c r="G42" s="96"/>
      <c r="H42" s="96"/>
      <c r="I42" s="96"/>
      <c r="J42" s="96"/>
    </row>
    <row r="43" spans="1:23" ht="33" customHeight="1">
      <c r="A43" s="179" t="s">
        <v>48</v>
      </c>
      <c r="B43" s="179"/>
      <c r="C43" s="179"/>
      <c r="D43" s="179"/>
      <c r="E43" s="179"/>
      <c r="F43" s="179"/>
      <c r="G43" s="179"/>
      <c r="H43" s="179"/>
      <c r="I43" s="97"/>
      <c r="J43" s="97"/>
      <c r="K43" s="74"/>
      <c r="L43" s="74"/>
      <c r="M43" s="74"/>
      <c r="N43" s="74"/>
      <c r="O43" s="74"/>
      <c r="P43" s="74"/>
    </row>
    <row r="44" spans="1:23" ht="15">
      <c r="A44" s="98"/>
      <c r="B44" s="98"/>
      <c r="C44" s="98"/>
      <c r="D44" s="98"/>
      <c r="E44" s="98"/>
      <c r="F44" s="98"/>
      <c r="G44" s="98"/>
      <c r="H44" s="99" t="s">
        <v>223</v>
      </c>
      <c r="J44" s="98"/>
      <c r="M44" s="98"/>
      <c r="N44" s="98"/>
      <c r="O44" s="98"/>
      <c r="P44" s="98"/>
    </row>
    <row r="45" spans="1:23" ht="15.75">
      <c r="A45" s="211" t="s">
        <v>111</v>
      </c>
      <c r="B45" s="213"/>
      <c r="C45" s="211" t="s">
        <v>41</v>
      </c>
      <c r="D45" s="212"/>
      <c r="E45" s="212"/>
      <c r="F45" s="212"/>
      <c r="G45" s="213"/>
      <c r="H45" s="89" t="s">
        <v>222</v>
      </c>
      <c r="I45" s="98"/>
      <c r="J45" s="98"/>
      <c r="K45" s="98"/>
      <c r="L45" s="98"/>
    </row>
    <row r="46" spans="1:23" ht="15" customHeight="1">
      <c r="A46" s="198" t="s">
        <v>49</v>
      </c>
      <c r="B46" s="199"/>
      <c r="C46" s="113" t="s">
        <v>133</v>
      </c>
      <c r="D46" s="100"/>
      <c r="E46" s="100"/>
      <c r="F46" s="100"/>
      <c r="G46" s="101"/>
      <c r="H46" s="102">
        <f>H67</f>
        <v>5524.5791788018741</v>
      </c>
      <c r="I46" s="98"/>
      <c r="J46" s="98"/>
      <c r="K46" s="98"/>
      <c r="L46" s="98"/>
    </row>
    <row r="47" spans="1:23" ht="15" customHeight="1">
      <c r="A47" s="198"/>
      <c r="B47" s="199"/>
      <c r="C47" s="67" t="s">
        <v>30</v>
      </c>
      <c r="D47" s="100"/>
      <c r="E47" s="100"/>
      <c r="F47" s="100"/>
      <c r="G47" s="101"/>
      <c r="H47" s="102">
        <f>895+895</f>
        <v>1790</v>
      </c>
      <c r="I47" s="98"/>
      <c r="J47" s="98"/>
      <c r="K47" s="98"/>
      <c r="L47" s="98"/>
    </row>
    <row r="48" spans="1:23" ht="15">
      <c r="A48" s="198"/>
      <c r="B48" s="199"/>
      <c r="C48" s="190" t="s">
        <v>37</v>
      </c>
      <c r="D48" s="191"/>
      <c r="E48" s="191"/>
      <c r="F48" s="191"/>
      <c r="G48" s="192"/>
      <c r="H48" s="150">
        <f>4924</f>
        <v>4924</v>
      </c>
      <c r="I48" s="98"/>
      <c r="J48" s="98"/>
      <c r="K48" s="98"/>
      <c r="L48" s="98"/>
    </row>
    <row r="49" spans="1:17" ht="15.75">
      <c r="A49" s="198"/>
      <c r="B49" s="199"/>
      <c r="C49" s="209" t="s">
        <v>42</v>
      </c>
      <c r="D49" s="245"/>
      <c r="E49" s="245"/>
      <c r="F49" s="245"/>
      <c r="G49" s="210"/>
      <c r="H49" s="150"/>
      <c r="I49" s="98"/>
      <c r="J49" s="98"/>
      <c r="K49" s="98"/>
      <c r="L49" s="98"/>
    </row>
    <row r="50" spans="1:17" ht="14.25">
      <c r="A50" s="200"/>
      <c r="B50" s="201"/>
      <c r="C50" s="243" t="s">
        <v>224</v>
      </c>
      <c r="D50" s="214"/>
      <c r="E50" s="214"/>
      <c r="F50" s="214"/>
      <c r="G50" s="215"/>
      <c r="H50" s="102">
        <v>5418</v>
      </c>
      <c r="I50" s="96"/>
      <c r="J50" s="96"/>
    </row>
    <row r="51" spans="1:17" ht="14.25">
      <c r="A51" s="95"/>
      <c r="B51" s="95"/>
      <c r="C51" s="103"/>
      <c r="D51" s="103"/>
      <c r="E51" s="103"/>
      <c r="F51" s="103"/>
      <c r="G51" s="103"/>
      <c r="H51" s="159"/>
      <c r="I51" s="96"/>
      <c r="J51" s="96"/>
    </row>
    <row r="52" spans="1:17">
      <c r="A52" s="90" t="s">
        <v>200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7" ht="18" customHeight="1">
      <c r="A53" s="180" t="s">
        <v>110</v>
      </c>
      <c r="B53" s="180"/>
      <c r="C53" s="180"/>
      <c r="D53" s="180"/>
      <c r="E53" s="180"/>
      <c r="F53" s="180"/>
      <c r="G53" s="180"/>
      <c r="H53" s="180"/>
      <c r="I53" s="105"/>
      <c r="J53" s="105"/>
    </row>
    <row r="54" spans="1:17" ht="12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7" ht="15.75">
      <c r="A55" s="181" t="s">
        <v>108</v>
      </c>
      <c r="B55" s="181"/>
      <c r="C55" s="181"/>
      <c r="D55" s="181"/>
      <c r="E55" s="181"/>
      <c r="F55" s="181"/>
      <c r="G55" s="181"/>
      <c r="H55" s="181"/>
      <c r="I55" s="74"/>
      <c r="J55" s="74"/>
    </row>
    <row r="56" spans="1:17" ht="15.75">
      <c r="A56" s="106"/>
      <c r="B56" s="106"/>
      <c r="C56" s="106"/>
      <c r="D56" s="106"/>
      <c r="E56" s="106"/>
      <c r="F56" s="106"/>
      <c r="G56" s="106"/>
      <c r="H56" s="99" t="s">
        <v>225</v>
      </c>
      <c r="J56" s="106"/>
    </row>
    <row r="57" spans="1:17" ht="15.75">
      <c r="A57" s="223" t="s">
        <v>109</v>
      </c>
      <c r="B57" s="223"/>
      <c r="C57" s="223"/>
      <c r="D57" s="223"/>
      <c r="E57" s="223"/>
      <c r="F57" s="223"/>
      <c r="G57" s="224"/>
      <c r="H57" s="107">
        <f>SUM(H65:H76)+H59+H64</f>
        <v>629375.74642722856</v>
      </c>
      <c r="I57" s="108"/>
      <c r="J57" s="108"/>
    </row>
    <row r="58" spans="1:17" ht="15">
      <c r="A58" s="109" t="s">
        <v>97</v>
      </c>
      <c r="B58" s="225" t="s">
        <v>98</v>
      </c>
      <c r="C58" s="226"/>
      <c r="D58" s="226"/>
      <c r="E58" s="226"/>
      <c r="F58" s="226"/>
      <c r="G58" s="227"/>
      <c r="H58" s="110" t="s">
        <v>99</v>
      </c>
      <c r="I58" s="111"/>
      <c r="K58" s="104"/>
    </row>
    <row r="59" spans="1:17" ht="15.75">
      <c r="A59" s="112" t="s">
        <v>100</v>
      </c>
      <c r="B59" s="113" t="s">
        <v>101</v>
      </c>
      <c r="C59" s="91"/>
      <c r="D59" s="91"/>
      <c r="E59" s="91"/>
      <c r="F59" s="91"/>
      <c r="G59" s="91"/>
      <c r="H59" s="94">
        <f>SUM(H60:H63)</f>
        <v>64461.780555792451</v>
      </c>
      <c r="I59" s="75"/>
    </row>
    <row r="60" spans="1:17" ht="15">
      <c r="A60" s="112"/>
      <c r="B60" s="113" t="s">
        <v>251</v>
      </c>
      <c r="C60" s="91"/>
      <c r="D60" s="91"/>
      <c r="E60" s="91"/>
      <c r="F60" s="91"/>
      <c r="G60" s="91"/>
      <c r="H60" s="102">
        <f>4894</f>
        <v>4894</v>
      </c>
      <c r="I60" s="75"/>
      <c r="K60" s="90"/>
      <c r="L60" s="90"/>
      <c r="M60" s="90"/>
      <c r="N60" s="90"/>
      <c r="O60" s="90"/>
      <c r="P60" s="90"/>
      <c r="Q60" s="90"/>
    </row>
    <row r="61" spans="1:17" ht="15">
      <c r="A61" s="112"/>
      <c r="B61" s="113" t="s">
        <v>38</v>
      </c>
      <c r="C61" s="91"/>
      <c r="D61" s="91"/>
      <c r="E61" s="91"/>
      <c r="F61" s="91"/>
      <c r="G61" s="91"/>
      <c r="H61" s="102">
        <f>13536</f>
        <v>13536</v>
      </c>
      <c r="I61" s="75"/>
      <c r="K61" s="90"/>
      <c r="L61" s="90"/>
      <c r="M61" s="90"/>
      <c r="N61" s="90"/>
      <c r="O61" s="90"/>
      <c r="P61" s="90"/>
      <c r="Q61" s="90"/>
    </row>
    <row r="62" spans="1:17" ht="15">
      <c r="A62" s="112"/>
      <c r="B62" s="113" t="s">
        <v>14</v>
      </c>
      <c r="C62" s="91"/>
      <c r="D62" s="91"/>
      <c r="E62" s="91"/>
      <c r="F62" s="91"/>
      <c r="G62" s="91"/>
      <c r="H62" s="102">
        <f>2612</f>
        <v>2612</v>
      </c>
      <c r="I62" s="75"/>
      <c r="K62" s="90"/>
      <c r="L62" s="90"/>
      <c r="M62" s="90"/>
      <c r="N62" s="90"/>
      <c r="O62" s="90"/>
      <c r="P62" s="90"/>
      <c r="Q62" s="90"/>
    </row>
    <row r="63" spans="1:17" ht="50.25" customHeight="1">
      <c r="A63" s="112"/>
      <c r="B63" s="206" t="s">
        <v>17</v>
      </c>
      <c r="C63" s="207"/>
      <c r="D63" s="207"/>
      <c r="E63" s="207"/>
      <c r="F63" s="207"/>
      <c r="G63" s="207"/>
      <c r="H63" s="102">
        <f>Основное!$D$6*Основное!I32</f>
        <v>43419.780555792451</v>
      </c>
      <c r="I63" s="75"/>
      <c r="K63" s="90"/>
      <c r="L63" s="90"/>
      <c r="M63" s="90"/>
      <c r="N63" s="90"/>
      <c r="O63" s="90"/>
      <c r="P63" s="90"/>
      <c r="Q63" s="90"/>
    </row>
    <row r="64" spans="1:17" ht="15">
      <c r="A64" s="112" t="s">
        <v>102</v>
      </c>
      <c r="B64" s="113" t="s">
        <v>139</v>
      </c>
      <c r="C64" s="91"/>
      <c r="D64" s="91"/>
      <c r="E64" s="91"/>
      <c r="F64" s="91"/>
      <c r="G64" s="91"/>
      <c r="H64" s="102">
        <f>Основное!$D$6*Основное!I33</f>
        <v>2735.2865646079113</v>
      </c>
      <c r="I64" s="75"/>
      <c r="K64" s="90"/>
      <c r="L64" s="90"/>
      <c r="M64" s="90"/>
      <c r="N64" s="90"/>
      <c r="O64" s="90"/>
      <c r="P64" s="90"/>
      <c r="Q64" s="90"/>
    </row>
    <row r="65" spans="1:22" ht="15">
      <c r="A65" s="112" t="s">
        <v>268</v>
      </c>
      <c r="B65" s="61" t="s">
        <v>267</v>
      </c>
      <c r="C65" s="91"/>
      <c r="D65" s="91"/>
      <c r="E65" s="91"/>
      <c r="F65" s="91"/>
      <c r="G65" s="91"/>
      <c r="H65" s="102">
        <f>Основное!$D$6*Основное!I34</f>
        <v>5844.6408061269913</v>
      </c>
      <c r="I65" s="75"/>
      <c r="K65" s="90"/>
      <c r="L65" s="90"/>
      <c r="M65" s="90"/>
      <c r="N65" s="90"/>
      <c r="O65" s="90"/>
      <c r="P65" s="90"/>
      <c r="Q65" s="90"/>
    </row>
    <row r="66" spans="1:22" ht="14.25">
      <c r="A66" s="112" t="s">
        <v>269</v>
      </c>
      <c r="B66" s="113" t="s">
        <v>103</v>
      </c>
      <c r="C66" s="91"/>
      <c r="D66" s="91"/>
      <c r="E66" s="91"/>
      <c r="F66" s="91"/>
      <c r="G66" s="91"/>
      <c r="H66" s="102">
        <f>Основное!$D$6*Основное!I35</f>
        <v>30963.488963140269</v>
      </c>
      <c r="I66" s="114"/>
      <c r="J66" s="114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</row>
    <row r="67" spans="1:22" ht="14.25">
      <c r="A67" s="112" t="s">
        <v>265</v>
      </c>
      <c r="B67" s="113" t="s">
        <v>266</v>
      </c>
      <c r="C67" s="91"/>
      <c r="D67" s="91"/>
      <c r="E67" s="91"/>
      <c r="F67" s="91"/>
      <c r="G67" s="91"/>
      <c r="H67" s="102">
        <f>Основное!$D$6*Основное!I36</f>
        <v>5524.5791788018741</v>
      </c>
      <c r="I67" s="114"/>
      <c r="J67" s="114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</row>
    <row r="68" spans="1:22" ht="15">
      <c r="A68" s="112" t="s">
        <v>270</v>
      </c>
      <c r="B68" s="113" t="s">
        <v>263</v>
      </c>
      <c r="C68" s="91"/>
      <c r="D68" s="91"/>
      <c r="E68" s="91"/>
      <c r="F68" s="91"/>
      <c r="G68" s="91"/>
      <c r="H68" s="102">
        <f>Основное!$D$6*Основное!I37</f>
        <v>50988.729692471286</v>
      </c>
      <c r="I68" s="75"/>
    </row>
    <row r="69" spans="1:22" ht="15">
      <c r="A69" s="112" t="s">
        <v>271</v>
      </c>
      <c r="B69" s="113" t="s">
        <v>264</v>
      </c>
      <c r="C69" s="91"/>
      <c r="D69" s="91"/>
      <c r="E69" s="91"/>
      <c r="F69" s="91"/>
      <c r="G69" s="91"/>
      <c r="H69" s="102">
        <f>Основное!$D$6*Основное!I38</f>
        <v>3683.9483048978077</v>
      </c>
      <c r="I69" s="75"/>
    </row>
    <row r="70" spans="1:22" ht="15">
      <c r="A70" s="112" t="s">
        <v>272</v>
      </c>
      <c r="B70" s="113" t="s">
        <v>104</v>
      </c>
      <c r="C70" s="91"/>
      <c r="D70" s="91"/>
      <c r="E70" s="91"/>
      <c r="F70" s="91"/>
      <c r="G70" s="91"/>
      <c r="H70" s="102">
        <f>Основное!$D$6*Основное!I39</f>
        <v>49497.10207630603</v>
      </c>
      <c r="I70" s="75"/>
    </row>
    <row r="71" spans="1:22" ht="15">
      <c r="A71" s="112" t="s">
        <v>273</v>
      </c>
      <c r="B71" s="113" t="s">
        <v>132</v>
      </c>
      <c r="C71" s="91"/>
      <c r="D71" s="91"/>
      <c r="E71" s="91"/>
      <c r="F71" s="91"/>
      <c r="G71" s="91"/>
      <c r="H71" s="102">
        <f>Основное!$D$6*Основное!I42</f>
        <v>7358.3010406421599</v>
      </c>
      <c r="I71" s="75"/>
    </row>
    <row r="72" spans="1:22" ht="15">
      <c r="A72" s="112" t="s">
        <v>274</v>
      </c>
      <c r="B72" s="113" t="s">
        <v>138</v>
      </c>
      <c r="C72" s="91"/>
      <c r="D72" s="91"/>
      <c r="E72" s="91"/>
      <c r="F72" s="91"/>
      <c r="G72" s="91"/>
      <c r="H72" s="102">
        <f>Основное!$D$6*Основное!I43</f>
        <v>2711.0165278193554</v>
      </c>
      <c r="I72" s="75"/>
    </row>
    <row r="73" spans="1:22" ht="15">
      <c r="A73" s="112" t="s">
        <v>275</v>
      </c>
      <c r="B73" s="113" t="s">
        <v>105</v>
      </c>
      <c r="C73" s="91"/>
      <c r="D73" s="91"/>
      <c r="E73" s="91"/>
      <c r="F73" s="91"/>
      <c r="G73" s="91"/>
      <c r="H73" s="102">
        <f>Основное!$D$6*Основное!I44</f>
        <v>320370.69172131683</v>
      </c>
      <c r="I73" s="75"/>
    </row>
    <row r="74" spans="1:22" ht="15">
      <c r="A74" s="112" t="s">
        <v>276</v>
      </c>
      <c r="B74" s="113" t="s">
        <v>131</v>
      </c>
      <c r="C74" s="91"/>
      <c r="D74" s="91"/>
      <c r="E74" s="91"/>
      <c r="F74" s="91"/>
      <c r="G74" s="91"/>
      <c r="H74" s="102">
        <f>Основное!$D$6*Основное!I45</f>
        <v>64714.879727705986</v>
      </c>
      <c r="I74" s="75"/>
    </row>
    <row r="75" spans="1:22" ht="15">
      <c r="A75" s="112" t="s">
        <v>277</v>
      </c>
      <c r="B75" s="113" t="s">
        <v>127</v>
      </c>
      <c r="C75" s="91"/>
      <c r="D75" s="91"/>
      <c r="E75" s="91"/>
      <c r="F75" s="91"/>
      <c r="G75" s="91"/>
      <c r="H75" s="102">
        <f>Основное!$D$6*Основное!I46</f>
        <v>9627.2387150414743</v>
      </c>
      <c r="I75" s="75"/>
    </row>
    <row r="76" spans="1:22" ht="15">
      <c r="A76" s="112" t="s">
        <v>278</v>
      </c>
      <c r="B76" s="113" t="s">
        <v>44</v>
      </c>
      <c r="C76" s="91"/>
      <c r="D76" s="91"/>
      <c r="E76" s="91"/>
      <c r="F76" s="91"/>
      <c r="G76" s="91"/>
      <c r="H76" s="102">
        <f>Основное!$D$6*Основное!I47</f>
        <v>10894.062552558176</v>
      </c>
      <c r="I76" s="75"/>
    </row>
    <row r="77" spans="1:22">
      <c r="A77" s="116"/>
      <c r="B77" s="116"/>
      <c r="C77" s="116"/>
      <c r="D77" s="116"/>
      <c r="E77" s="116"/>
      <c r="F77" s="116"/>
      <c r="G77" s="116"/>
      <c r="H77" s="117"/>
      <c r="I77" s="114"/>
      <c r="J77" s="114"/>
    </row>
    <row r="78" spans="1:22" s="142" customFormat="1" ht="26.25" customHeight="1">
      <c r="A78" s="182" t="s">
        <v>12</v>
      </c>
      <c r="B78" s="182"/>
      <c r="C78" s="182"/>
      <c r="D78" s="182"/>
      <c r="E78" s="182"/>
      <c r="F78" s="182"/>
      <c r="G78" s="182"/>
      <c r="H78" s="182"/>
      <c r="I78" s="118"/>
      <c r="J78" s="118"/>
      <c r="K78" s="82"/>
    </row>
    <row r="79" spans="1:22" s="142" customFormat="1">
      <c r="A79" s="119"/>
      <c r="B79" s="208"/>
      <c r="C79" s="208"/>
      <c r="D79" s="208"/>
      <c r="E79" s="208"/>
      <c r="F79" s="208"/>
      <c r="G79" s="208"/>
      <c r="H79" s="208"/>
      <c r="I79" s="120"/>
      <c r="J79" s="120"/>
    </row>
    <row r="80" spans="1:22" s="142" customFormat="1" ht="15.75">
      <c r="A80" s="177" t="s">
        <v>254</v>
      </c>
      <c r="B80" s="177"/>
      <c r="C80" s="177"/>
      <c r="D80" s="119"/>
      <c r="E80" s="119"/>
      <c r="F80" s="119"/>
      <c r="G80" s="119"/>
      <c r="I80" s="119"/>
    </row>
    <row r="81" spans="1:15" s="142" customFormat="1" ht="15.75">
      <c r="A81" s="111"/>
      <c r="B81" s="111"/>
      <c r="C81" s="121" t="s">
        <v>226</v>
      </c>
      <c r="D81" s="111"/>
      <c r="E81" s="86"/>
      <c r="F81" s="82"/>
      <c r="H81" s="120"/>
      <c r="I81" s="120"/>
    </row>
    <row r="82" spans="1:15" s="142" customFormat="1" ht="28.5" customHeight="1">
      <c r="A82" s="122" t="s">
        <v>257</v>
      </c>
      <c r="B82" s="123" t="s">
        <v>228</v>
      </c>
      <c r="C82" s="172" t="s">
        <v>281</v>
      </c>
      <c r="F82" s="120"/>
    </row>
    <row r="83" spans="1:15" s="83" customFormat="1" ht="19.5" customHeight="1">
      <c r="A83" s="141">
        <v>1126.2</v>
      </c>
      <c r="B83" s="141">
        <v>6000</v>
      </c>
      <c r="C83" s="173">
        <f>SUM(A83:B83)</f>
        <v>7126.2</v>
      </c>
      <c r="D83" s="125"/>
      <c r="E83" s="125"/>
      <c r="F83" s="125"/>
    </row>
    <row r="84" spans="1:15" s="142" customFormat="1" ht="15.75">
      <c r="A84" s="126"/>
      <c r="B84" s="126"/>
      <c r="C84" s="162"/>
      <c r="D84" s="162"/>
      <c r="E84" s="127"/>
      <c r="F84" s="127"/>
      <c r="G84" s="82"/>
      <c r="H84" s="120"/>
      <c r="I84" s="120"/>
      <c r="J84" s="120"/>
    </row>
    <row r="85" spans="1:15" s="142" customFormat="1" ht="93" customHeight="1">
      <c r="A85" s="221" t="s">
        <v>45</v>
      </c>
      <c r="B85" s="221"/>
      <c r="C85" s="221"/>
      <c r="D85" s="221"/>
      <c r="E85" s="221"/>
      <c r="F85" s="221"/>
      <c r="G85" s="221"/>
      <c r="H85" s="221"/>
      <c r="I85" s="128"/>
      <c r="J85" s="128"/>
      <c r="K85" s="128"/>
      <c r="L85" s="128"/>
    </row>
    <row r="86" spans="1:15" ht="60.75" customHeight="1">
      <c r="A86" s="222" t="s">
        <v>46</v>
      </c>
      <c r="B86" s="222"/>
      <c r="C86" s="222"/>
      <c r="D86" s="222"/>
      <c r="E86" s="222"/>
      <c r="F86" s="222"/>
      <c r="G86" s="222"/>
      <c r="H86" s="222"/>
      <c r="I86" s="129"/>
      <c r="J86" s="129"/>
      <c r="K86" s="129"/>
      <c r="L86" s="129"/>
      <c r="M86" s="129"/>
      <c r="N86" s="129"/>
      <c r="O86" s="129"/>
    </row>
    <row r="87" spans="1:1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</row>
    <row r="88" spans="1:15" ht="15">
      <c r="A88" s="235" t="s">
        <v>175</v>
      </c>
      <c r="B88" s="235"/>
      <c r="C88" s="235"/>
      <c r="D88" s="235"/>
      <c r="E88" s="235"/>
      <c r="F88" s="235"/>
      <c r="G88" s="235"/>
      <c r="H88" s="235"/>
      <c r="I88" s="131"/>
      <c r="J88" s="132"/>
      <c r="K88" s="132"/>
      <c r="L88" s="132"/>
      <c r="M88" s="132"/>
      <c r="N88" s="132"/>
      <c r="O88" s="132"/>
    </row>
    <row r="89" spans="1:15" ht="15">
      <c r="A89" s="235" t="s">
        <v>234</v>
      </c>
      <c r="B89" s="235"/>
      <c r="C89" s="235"/>
      <c r="D89" s="235"/>
      <c r="E89" s="235"/>
      <c r="F89" s="235"/>
      <c r="G89" s="235"/>
      <c r="H89" s="235"/>
      <c r="I89" s="131"/>
      <c r="J89" s="132"/>
      <c r="K89" s="132"/>
      <c r="L89" s="132"/>
      <c r="M89" s="132"/>
      <c r="N89" s="132"/>
      <c r="O89" s="132"/>
    </row>
    <row r="90" spans="1:15" ht="14.25">
      <c r="A90" s="186" t="s">
        <v>229</v>
      </c>
      <c r="B90" s="186"/>
      <c r="C90" s="186"/>
      <c r="D90" s="186"/>
      <c r="E90" s="186"/>
      <c r="F90" s="186"/>
      <c r="G90" s="186"/>
      <c r="H90" s="186"/>
      <c r="I90" s="146"/>
      <c r="J90" s="146"/>
      <c r="K90" s="146"/>
      <c r="L90" s="146"/>
      <c r="M90" s="146"/>
      <c r="N90" s="146"/>
      <c r="O90" s="146"/>
    </row>
    <row r="91" spans="1:15" ht="15">
      <c r="A91" s="175" t="s">
        <v>235</v>
      </c>
      <c r="B91" s="175"/>
      <c r="C91" s="175"/>
      <c r="D91" s="175"/>
      <c r="E91" s="175"/>
      <c r="F91" s="175"/>
      <c r="G91" s="175"/>
      <c r="H91" s="175"/>
      <c r="I91" s="133"/>
      <c r="J91" s="134"/>
      <c r="K91" s="134"/>
      <c r="L91" s="134"/>
      <c r="M91" s="134"/>
      <c r="N91" s="134"/>
      <c r="O91" s="134"/>
    </row>
    <row r="92" spans="1:15" ht="15">
      <c r="A92" s="176" t="s">
        <v>230</v>
      </c>
      <c r="B92" s="176"/>
      <c r="C92" s="176"/>
      <c r="D92" s="176"/>
      <c r="E92" s="176"/>
      <c r="F92" s="176"/>
      <c r="G92" s="176"/>
      <c r="H92" s="176"/>
      <c r="I92" s="135"/>
      <c r="J92" s="136"/>
      <c r="K92" s="136"/>
      <c r="L92" s="136"/>
      <c r="M92" s="136"/>
      <c r="N92" s="136"/>
      <c r="O92" s="136"/>
    </row>
  </sheetData>
  <mergeCells count="49">
    <mergeCell ref="L37:W37"/>
    <mergeCell ref="A57:G57"/>
    <mergeCell ref="B58:G58"/>
    <mergeCell ref="C45:G45"/>
    <mergeCell ref="A89:H89"/>
    <mergeCell ref="K66:V66"/>
    <mergeCell ref="C50:G50"/>
    <mergeCell ref="C49:G49"/>
    <mergeCell ref="C48:G48"/>
    <mergeCell ref="A1:H1"/>
    <mergeCell ref="A2:H2"/>
    <mergeCell ref="A3:H3"/>
    <mergeCell ref="C37:G37"/>
    <mergeCell ref="A24:B24"/>
    <mergeCell ref="A80:C80"/>
    <mergeCell ref="A33:B33"/>
    <mergeCell ref="C33:G33"/>
    <mergeCell ref="A34:B39"/>
    <mergeCell ref="C38:G38"/>
    <mergeCell ref="A90:H90"/>
    <mergeCell ref="B63:G63"/>
    <mergeCell ref="A85:H85"/>
    <mergeCell ref="A86:H86"/>
    <mergeCell ref="A88:H88"/>
    <mergeCell ref="H21:H23"/>
    <mergeCell ref="A41:H41"/>
    <mergeCell ref="F21:F23"/>
    <mergeCell ref="G21:G23"/>
    <mergeCell ref="D21:D23"/>
    <mergeCell ref="E5:H8"/>
    <mergeCell ref="A17:H17"/>
    <mergeCell ref="A19:H19"/>
    <mergeCell ref="C32:D32"/>
    <mergeCell ref="E32:F32"/>
    <mergeCell ref="A31:H31"/>
    <mergeCell ref="A28:G28"/>
    <mergeCell ref="B20:F20"/>
    <mergeCell ref="A21:B23"/>
    <mergeCell ref="C21:C23"/>
    <mergeCell ref="E21:E23"/>
    <mergeCell ref="A43:H43"/>
    <mergeCell ref="A46:B50"/>
    <mergeCell ref="A45:B45"/>
    <mergeCell ref="A91:H91"/>
    <mergeCell ref="A92:H92"/>
    <mergeCell ref="A53:H53"/>
    <mergeCell ref="A55:H55"/>
    <mergeCell ref="A78:H78"/>
    <mergeCell ref="B79:H79"/>
  </mergeCells>
  <phoneticPr fontId="11" type="noConversion"/>
  <hyperlinks>
    <hyperlink ref="A90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00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style="137" customWidth="1"/>
    <col min="2" max="2" width="12.28515625" style="137" customWidth="1"/>
    <col min="3" max="3" width="12.7109375" style="137" customWidth="1"/>
    <col min="4" max="4" width="13.7109375" style="137" customWidth="1"/>
    <col min="5" max="5" width="15.28515625" style="137" customWidth="1"/>
    <col min="6" max="6" width="14.7109375" style="137" customWidth="1"/>
    <col min="7" max="7" width="18.7109375" style="137" customWidth="1"/>
    <col min="8" max="8" width="13.42578125" style="137" customWidth="1"/>
    <col min="9" max="9" width="12.85546875" style="137" customWidth="1"/>
    <col min="10" max="10" width="3.5703125" style="137" customWidth="1"/>
    <col min="11" max="12" width="9.140625" style="137"/>
    <col min="13" max="13" width="0.5703125" style="137" customWidth="1"/>
    <col min="14" max="15" width="9.140625" style="137"/>
    <col min="16" max="16" width="1.42578125" style="137" customWidth="1"/>
    <col min="17" max="16384" width="9.140625" style="137"/>
  </cols>
  <sheetData>
    <row r="1" spans="1:16" ht="18">
      <c r="A1" s="234" t="s">
        <v>231</v>
      </c>
      <c r="B1" s="234"/>
      <c r="C1" s="234"/>
      <c r="D1" s="234"/>
      <c r="E1" s="234"/>
      <c r="F1" s="234"/>
      <c r="G1" s="234"/>
      <c r="H1" s="234"/>
      <c r="I1" s="62"/>
      <c r="J1" s="62"/>
      <c r="K1" s="62"/>
      <c r="L1" s="62"/>
      <c r="M1" s="62"/>
      <c r="N1" s="62"/>
      <c r="O1" s="62"/>
    </row>
    <row r="2" spans="1:16" ht="18">
      <c r="A2" s="234" t="s">
        <v>20</v>
      </c>
      <c r="B2" s="234"/>
      <c r="C2" s="234"/>
      <c r="D2" s="234"/>
      <c r="E2" s="234"/>
      <c r="F2" s="234"/>
      <c r="G2" s="234"/>
      <c r="H2" s="234"/>
      <c r="I2" s="62"/>
      <c r="J2" s="62"/>
      <c r="K2" s="62"/>
      <c r="L2" s="62"/>
      <c r="M2" s="62"/>
      <c r="N2" s="62"/>
      <c r="O2" s="62"/>
    </row>
    <row r="3" spans="1:16" ht="18">
      <c r="A3" s="187" t="s">
        <v>50</v>
      </c>
      <c r="B3" s="187"/>
      <c r="C3" s="187"/>
      <c r="D3" s="187"/>
      <c r="E3" s="187"/>
      <c r="F3" s="187"/>
      <c r="G3" s="187"/>
      <c r="H3" s="187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201</v>
      </c>
      <c r="B5" s="65"/>
      <c r="C5" s="65"/>
      <c r="D5" s="65"/>
      <c r="E5" s="189" t="s">
        <v>51</v>
      </c>
      <c r="F5" s="189"/>
      <c r="G5" s="189"/>
      <c r="H5" s="189"/>
      <c r="I5" s="66"/>
      <c r="J5" s="66"/>
    </row>
    <row r="6" spans="1:16" s="67" customFormat="1" ht="14.25">
      <c r="A6" s="65" t="s">
        <v>92</v>
      </c>
      <c r="B6" s="65"/>
      <c r="C6" s="65"/>
      <c r="D6" s="65"/>
      <c r="E6" s="189"/>
      <c r="F6" s="189"/>
      <c r="G6" s="189"/>
      <c r="H6" s="189"/>
      <c r="I6" s="66"/>
      <c r="J6" s="66"/>
    </row>
    <row r="7" spans="1:16" s="67" customFormat="1" ht="26.25" customHeight="1">
      <c r="A7" s="65" t="s">
        <v>10</v>
      </c>
      <c r="B7" s="65"/>
      <c r="C7" s="65"/>
      <c r="D7" s="65"/>
      <c r="E7" s="189"/>
      <c r="F7" s="189"/>
      <c r="G7" s="189"/>
      <c r="H7" s="189"/>
      <c r="I7" s="66"/>
      <c r="J7" s="66"/>
    </row>
    <row r="8" spans="1:16" s="67" customFormat="1" ht="14.25">
      <c r="A8" s="65" t="s">
        <v>29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93</v>
      </c>
      <c r="B9" s="65"/>
      <c r="C9" s="65"/>
      <c r="D9" s="65"/>
      <c r="E9" s="68" t="s">
        <v>208</v>
      </c>
      <c r="F9" s="66"/>
      <c r="G9" s="66"/>
      <c r="H9" s="66"/>
      <c r="I9" s="66"/>
      <c r="J9" s="66"/>
    </row>
    <row r="10" spans="1:16" s="67" customFormat="1" ht="14.25">
      <c r="A10" s="65" t="s">
        <v>94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95</v>
      </c>
      <c r="B11" s="65"/>
      <c r="C11" s="65"/>
      <c r="D11" s="65"/>
      <c r="E11" s="65" t="s">
        <v>209</v>
      </c>
      <c r="F11" s="65"/>
      <c r="G11" s="65" t="s">
        <v>52</v>
      </c>
      <c r="I11" s="65"/>
      <c r="J11" s="65"/>
    </row>
    <row r="12" spans="1:16" s="67" customFormat="1" ht="14.25">
      <c r="A12" s="65" t="s">
        <v>202</v>
      </c>
      <c r="B12" s="65"/>
      <c r="C12" s="65"/>
      <c r="D12" s="65"/>
      <c r="E12" s="65" t="s">
        <v>76</v>
      </c>
      <c r="F12" s="65"/>
      <c r="G12" s="65" t="s">
        <v>246</v>
      </c>
      <c r="I12" s="65"/>
      <c r="J12" s="65"/>
    </row>
    <row r="13" spans="1:16" s="67" customFormat="1" ht="14.25">
      <c r="A13" s="65" t="s">
        <v>203</v>
      </c>
      <c r="B13" s="65"/>
      <c r="C13" s="65"/>
      <c r="D13" s="65"/>
      <c r="E13" s="65" t="s">
        <v>77</v>
      </c>
      <c r="F13" s="65"/>
      <c r="G13" s="65" t="s">
        <v>22</v>
      </c>
      <c r="I13" s="65"/>
      <c r="J13" s="65"/>
    </row>
    <row r="14" spans="1:16" s="67" customFormat="1" ht="14.25">
      <c r="A14" s="65" t="s">
        <v>204</v>
      </c>
      <c r="B14" s="65"/>
      <c r="C14" s="65"/>
      <c r="D14" s="65"/>
      <c r="E14" s="65" t="s">
        <v>212</v>
      </c>
      <c r="F14" s="65"/>
      <c r="G14" s="65" t="s">
        <v>213</v>
      </c>
      <c r="I14" s="65"/>
      <c r="J14" s="65"/>
    </row>
    <row r="15" spans="1:16" s="67" customFormat="1" ht="14.25">
      <c r="A15" s="65" t="s">
        <v>205</v>
      </c>
      <c r="B15" s="65"/>
      <c r="C15" s="65"/>
      <c r="D15" s="65"/>
      <c r="E15" s="65" t="s">
        <v>214</v>
      </c>
      <c r="F15" s="65"/>
      <c r="G15" s="65" t="s">
        <v>53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27" customHeight="1">
      <c r="A17" s="178" t="s">
        <v>78</v>
      </c>
      <c r="B17" s="178"/>
      <c r="C17" s="178"/>
      <c r="D17" s="178"/>
      <c r="E17" s="178"/>
      <c r="F17" s="178"/>
      <c r="G17" s="178"/>
      <c r="H17" s="178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1" t="s">
        <v>55</v>
      </c>
      <c r="B19" s="181"/>
      <c r="C19" s="181"/>
      <c r="D19" s="181"/>
      <c r="E19" s="181"/>
      <c r="F19" s="181"/>
      <c r="G19" s="181"/>
      <c r="H19" s="181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17"/>
      <c r="C20" s="217"/>
      <c r="D20" s="217"/>
      <c r="E20" s="217"/>
      <c r="F20" s="217"/>
      <c r="G20" s="75"/>
      <c r="H20" s="76" t="s">
        <v>215</v>
      </c>
      <c r="I20" s="76"/>
      <c r="K20" s="72"/>
      <c r="M20" s="72"/>
      <c r="N20" s="72"/>
      <c r="O20" s="77"/>
    </row>
    <row r="21" spans="1:16" s="67" customFormat="1" ht="15" customHeight="1">
      <c r="A21" s="218" t="s">
        <v>216</v>
      </c>
      <c r="B21" s="228"/>
      <c r="C21" s="231" t="s">
        <v>248</v>
      </c>
      <c r="D21" s="231" t="s">
        <v>217</v>
      </c>
      <c r="E21" s="236" t="s">
        <v>9</v>
      </c>
      <c r="F21" s="218" t="s">
        <v>247</v>
      </c>
      <c r="G21" s="202" t="s">
        <v>218</v>
      </c>
      <c r="H21" s="188" t="s">
        <v>219</v>
      </c>
      <c r="I21" s="78"/>
    </row>
    <row r="22" spans="1:16" s="67" customFormat="1" ht="15" customHeight="1">
      <c r="A22" s="219"/>
      <c r="B22" s="229"/>
      <c r="C22" s="232"/>
      <c r="D22" s="232"/>
      <c r="E22" s="237"/>
      <c r="F22" s="219"/>
      <c r="G22" s="203"/>
      <c r="H22" s="188"/>
      <c r="I22" s="78"/>
    </row>
    <row r="23" spans="1:16" s="67" customFormat="1" ht="75" customHeight="1">
      <c r="A23" s="220"/>
      <c r="B23" s="230"/>
      <c r="C23" s="233"/>
      <c r="D23" s="233"/>
      <c r="E23" s="238"/>
      <c r="F23" s="220"/>
      <c r="G23" s="204"/>
      <c r="H23" s="188"/>
      <c r="I23" s="78"/>
    </row>
    <row r="24" spans="1:16" s="81" customFormat="1" ht="14.25">
      <c r="A24" s="239">
        <v>-171686</v>
      </c>
      <c r="B24" s="240"/>
      <c r="C24" s="138">
        <v>69248.299999999988</v>
      </c>
      <c r="D24" s="139">
        <v>68419.11</v>
      </c>
      <c r="E24" s="139">
        <v>23946.48</v>
      </c>
      <c r="F24" s="138">
        <f>C24-D24</f>
        <v>829.18999999998778</v>
      </c>
      <c r="G24" s="140">
        <v>29534</v>
      </c>
      <c r="H24" s="141">
        <f>A24+D24+E24-G24</f>
        <v>-108854.41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68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250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78" t="s">
        <v>243</v>
      </c>
      <c r="B28" s="178"/>
      <c r="C28" s="178"/>
      <c r="D28" s="178"/>
      <c r="E28" s="178"/>
      <c r="F28" s="178"/>
      <c r="G28" s="178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2" customFormat="1" ht="15.75">
      <c r="A31" s="177" t="s">
        <v>220</v>
      </c>
      <c r="B31" s="177"/>
      <c r="C31" s="177"/>
      <c r="D31" s="177"/>
      <c r="E31" s="177"/>
      <c r="F31" s="177"/>
      <c r="G31" s="177"/>
      <c r="H31" s="177"/>
      <c r="I31" s="86"/>
      <c r="J31" s="86"/>
    </row>
    <row r="32" spans="1:16" s="142" customFormat="1">
      <c r="A32" s="87"/>
      <c r="B32" s="143"/>
      <c r="C32" s="241"/>
      <c r="D32" s="241"/>
      <c r="E32" s="242"/>
      <c r="F32" s="242"/>
      <c r="G32" s="143"/>
      <c r="H32" s="88" t="s">
        <v>221</v>
      </c>
      <c r="I32" s="88"/>
    </row>
    <row r="33" spans="1:18" s="142" customFormat="1" ht="15.75">
      <c r="A33" s="183" t="s">
        <v>111</v>
      </c>
      <c r="B33" s="184"/>
      <c r="C33" s="211" t="s">
        <v>41</v>
      </c>
      <c r="D33" s="212"/>
      <c r="E33" s="212"/>
      <c r="F33" s="212"/>
      <c r="G33" s="213"/>
      <c r="H33" s="89" t="s">
        <v>222</v>
      </c>
      <c r="L33" s="90"/>
      <c r="M33" s="90"/>
      <c r="N33" s="90"/>
      <c r="O33" s="90"/>
      <c r="P33" s="90"/>
      <c r="Q33" s="90"/>
      <c r="R33" s="90"/>
    </row>
    <row r="34" spans="1:18" s="142" customFormat="1" ht="15" customHeight="1">
      <c r="A34" s="249" t="s">
        <v>242</v>
      </c>
      <c r="B34" s="250"/>
      <c r="C34" s="113" t="s">
        <v>84</v>
      </c>
      <c r="D34" s="91"/>
      <c r="E34" s="91"/>
      <c r="F34" s="91"/>
      <c r="G34" s="91"/>
      <c r="H34" s="150">
        <f>7107+3343</f>
        <v>10450</v>
      </c>
      <c r="L34" s="90"/>
      <c r="M34" s="90"/>
      <c r="N34" s="90"/>
      <c r="O34" s="90"/>
      <c r="P34" s="90"/>
      <c r="Q34" s="90"/>
      <c r="R34" s="90"/>
    </row>
    <row r="35" spans="1:18" s="142" customFormat="1" ht="15" customHeight="1">
      <c r="A35" s="251"/>
      <c r="B35" s="252"/>
      <c r="C35" s="113" t="s">
        <v>249</v>
      </c>
      <c r="D35" s="91"/>
      <c r="E35" s="91"/>
      <c r="F35" s="91"/>
      <c r="G35" s="91"/>
      <c r="H35" s="150">
        <f>12606</f>
        <v>12606</v>
      </c>
      <c r="L35" s="90"/>
      <c r="M35" s="90"/>
      <c r="N35" s="90"/>
      <c r="O35" s="90"/>
      <c r="P35" s="90"/>
      <c r="Q35" s="90"/>
      <c r="R35" s="90"/>
    </row>
    <row r="36" spans="1:18" s="142" customFormat="1" ht="15" customHeight="1">
      <c r="A36" s="251"/>
      <c r="B36" s="252"/>
      <c r="C36" s="113" t="s">
        <v>58</v>
      </c>
      <c r="D36" s="91"/>
      <c r="E36" s="91"/>
      <c r="F36" s="91"/>
      <c r="G36" s="91"/>
      <c r="H36" s="150">
        <f>3000</f>
        <v>3000</v>
      </c>
      <c r="L36" s="90"/>
      <c r="M36" s="90"/>
      <c r="N36" s="90"/>
      <c r="O36" s="90"/>
      <c r="P36" s="90"/>
      <c r="Q36" s="90"/>
      <c r="R36" s="90"/>
    </row>
    <row r="37" spans="1:18" s="142" customFormat="1" ht="15" customHeight="1">
      <c r="A37" s="251"/>
      <c r="B37" s="252"/>
      <c r="C37" s="113" t="s">
        <v>5</v>
      </c>
      <c r="D37" s="91"/>
      <c r="E37" s="91"/>
      <c r="F37" s="91"/>
      <c r="G37" s="91"/>
      <c r="H37" s="150">
        <f>3478</f>
        <v>3478</v>
      </c>
      <c r="L37" s="90"/>
      <c r="M37" s="90"/>
      <c r="N37" s="90"/>
      <c r="O37" s="90"/>
      <c r="P37" s="90"/>
      <c r="Q37" s="90"/>
      <c r="R37" s="90"/>
    </row>
    <row r="38" spans="1:18" s="142" customFormat="1" ht="15" customHeight="1">
      <c r="A38" s="251"/>
      <c r="B38" s="252"/>
      <c r="C38" s="113"/>
      <c r="D38" s="91"/>
      <c r="E38" s="91"/>
      <c r="F38" s="91"/>
      <c r="G38" s="151"/>
      <c r="H38" s="149">
        <f>SUM(SUM(H34:H37))</f>
        <v>29534</v>
      </c>
      <c r="K38" s="144"/>
      <c r="L38" s="90"/>
      <c r="M38" s="90"/>
      <c r="N38" s="90"/>
      <c r="O38" s="90"/>
      <c r="P38" s="90"/>
      <c r="Q38" s="90"/>
      <c r="R38" s="90"/>
    </row>
    <row r="39" spans="1:18" s="142" customFormat="1" ht="15" customHeight="1">
      <c r="A39" s="251"/>
      <c r="B39" s="252"/>
      <c r="C39" s="183" t="s">
        <v>42</v>
      </c>
      <c r="D39" s="184"/>
      <c r="E39" s="184"/>
      <c r="F39" s="184"/>
      <c r="G39" s="185"/>
      <c r="H39" s="150"/>
      <c r="L39" s="90"/>
      <c r="M39" s="90"/>
      <c r="N39" s="90"/>
      <c r="O39" s="90"/>
      <c r="P39" s="90"/>
      <c r="Q39" s="90"/>
      <c r="R39" s="90"/>
    </row>
    <row r="40" spans="1:18" s="142" customFormat="1" ht="15" customHeight="1">
      <c r="A40" s="251"/>
      <c r="B40" s="252"/>
      <c r="C40" s="113" t="s">
        <v>249</v>
      </c>
      <c r="D40" s="147"/>
      <c r="E40" s="147"/>
      <c r="F40" s="147"/>
      <c r="G40" s="161"/>
      <c r="H40" s="150">
        <f>14092</f>
        <v>14092</v>
      </c>
      <c r="L40" s="90"/>
      <c r="M40" s="90"/>
      <c r="N40" s="90"/>
      <c r="O40" s="90"/>
      <c r="P40" s="90"/>
      <c r="Q40" s="90"/>
      <c r="R40" s="90"/>
    </row>
    <row r="41" spans="1:18" s="142" customFormat="1" ht="15" customHeight="1">
      <c r="A41" s="251"/>
      <c r="B41" s="252"/>
      <c r="C41" s="113" t="s">
        <v>40</v>
      </c>
      <c r="D41" s="147"/>
      <c r="E41" s="147"/>
      <c r="F41" s="147"/>
      <c r="G41" s="161"/>
      <c r="H41" s="150">
        <f>1527</f>
        <v>1527</v>
      </c>
      <c r="L41" s="90"/>
      <c r="M41" s="90"/>
      <c r="N41" s="90"/>
      <c r="O41" s="90"/>
      <c r="P41" s="90"/>
      <c r="Q41" s="90"/>
      <c r="R41" s="90"/>
    </row>
    <row r="42" spans="1:18" s="142" customFormat="1" ht="15" customHeight="1">
      <c r="A42" s="251"/>
      <c r="B42" s="252"/>
      <c r="C42" s="113" t="s">
        <v>18</v>
      </c>
      <c r="D42" s="147"/>
      <c r="E42" s="147"/>
      <c r="F42" s="147"/>
      <c r="G42" s="161"/>
      <c r="H42" s="150">
        <f>2339</f>
        <v>2339</v>
      </c>
      <c r="L42" s="90"/>
      <c r="M42" s="90"/>
      <c r="N42" s="90"/>
      <c r="O42" s="90"/>
      <c r="P42" s="90"/>
      <c r="Q42" s="90"/>
      <c r="R42" s="90"/>
    </row>
    <row r="43" spans="1:18" s="142" customFormat="1" ht="15" customHeight="1">
      <c r="A43" s="251"/>
      <c r="B43" s="252"/>
      <c r="C43" s="113" t="s">
        <v>5</v>
      </c>
      <c r="D43" s="147"/>
      <c r="E43" s="147"/>
      <c r="F43" s="147"/>
      <c r="G43" s="161"/>
      <c r="H43" s="150">
        <f>12592</f>
        <v>12592</v>
      </c>
      <c r="L43" s="90"/>
      <c r="M43" s="90"/>
      <c r="N43" s="90"/>
      <c r="O43" s="90"/>
      <c r="P43" s="90"/>
      <c r="Q43" s="90"/>
      <c r="R43" s="90"/>
    </row>
    <row r="44" spans="1:18" s="142" customFormat="1" ht="15" customHeight="1">
      <c r="A44" s="251"/>
      <c r="B44" s="252"/>
      <c r="C44" s="113" t="s">
        <v>80</v>
      </c>
      <c r="D44" s="147"/>
      <c r="E44" s="147"/>
      <c r="F44" s="147"/>
      <c r="G44" s="161"/>
      <c r="H44" s="150">
        <f>13483</f>
        <v>13483</v>
      </c>
      <c r="L44" s="90"/>
      <c r="M44" s="90"/>
      <c r="N44" s="90"/>
      <c r="O44" s="90"/>
      <c r="P44" s="90"/>
      <c r="Q44" s="90"/>
      <c r="R44" s="90"/>
    </row>
    <row r="45" spans="1:18" s="142" customFormat="1" ht="15" customHeight="1">
      <c r="A45" s="253"/>
      <c r="B45" s="254"/>
      <c r="C45" s="193" t="s">
        <v>31</v>
      </c>
      <c r="D45" s="194"/>
      <c r="E45" s="194"/>
      <c r="F45" s="194"/>
      <c r="G45" s="195"/>
      <c r="H45" s="150">
        <f>15680+42880</f>
        <v>58560</v>
      </c>
      <c r="L45" s="90"/>
      <c r="M45" s="90"/>
      <c r="N45" s="90"/>
      <c r="O45" s="90"/>
      <c r="P45" s="90"/>
      <c r="Q45" s="90"/>
      <c r="R45" s="90"/>
    </row>
    <row r="46" spans="1:18">
      <c r="A46" s="95"/>
      <c r="B46" s="95"/>
      <c r="C46" s="95"/>
      <c r="D46" s="95"/>
      <c r="E46" s="96"/>
      <c r="F46" s="96"/>
      <c r="G46" s="96"/>
      <c r="H46" s="96"/>
      <c r="I46" s="96"/>
      <c r="J46" s="96"/>
    </row>
    <row r="47" spans="1:18" ht="42.75" customHeight="1">
      <c r="A47" s="178" t="s">
        <v>79</v>
      </c>
      <c r="B47" s="178"/>
      <c r="C47" s="178"/>
      <c r="D47" s="178"/>
      <c r="E47" s="178"/>
      <c r="F47" s="178"/>
      <c r="G47" s="178"/>
      <c r="H47" s="178"/>
      <c r="I47" s="66"/>
      <c r="J47" s="66"/>
    </row>
    <row r="48" spans="1:18">
      <c r="A48" s="95"/>
      <c r="B48" s="95"/>
      <c r="C48" s="95"/>
      <c r="D48" s="95"/>
      <c r="E48" s="96"/>
      <c r="F48" s="96"/>
      <c r="G48" s="96"/>
      <c r="H48" s="96"/>
      <c r="I48" s="96"/>
      <c r="J48" s="96"/>
    </row>
    <row r="49" spans="1:16" ht="33" customHeight="1">
      <c r="A49" s="179" t="s">
        <v>43</v>
      </c>
      <c r="B49" s="179"/>
      <c r="C49" s="179"/>
      <c r="D49" s="179"/>
      <c r="E49" s="179"/>
      <c r="F49" s="179"/>
      <c r="G49" s="179"/>
      <c r="H49" s="179"/>
      <c r="I49" s="97"/>
      <c r="J49" s="97"/>
      <c r="K49" s="74"/>
      <c r="L49" s="74"/>
      <c r="M49" s="74"/>
      <c r="N49" s="74"/>
      <c r="O49" s="74"/>
      <c r="P49" s="74"/>
    </row>
    <row r="50" spans="1:16" ht="15">
      <c r="A50" s="98"/>
      <c r="B50" s="98"/>
      <c r="C50" s="98"/>
      <c r="D50" s="98"/>
      <c r="E50" s="98"/>
      <c r="F50" s="98"/>
      <c r="G50" s="98"/>
      <c r="H50" s="99" t="s">
        <v>223</v>
      </c>
      <c r="J50" s="98"/>
      <c r="M50" s="98"/>
      <c r="N50" s="98"/>
      <c r="O50" s="98"/>
      <c r="P50" s="98"/>
    </row>
    <row r="51" spans="1:16" ht="15.75">
      <c r="A51" s="211" t="s">
        <v>111</v>
      </c>
      <c r="B51" s="213"/>
      <c r="C51" s="211" t="s">
        <v>41</v>
      </c>
      <c r="D51" s="212"/>
      <c r="E51" s="212"/>
      <c r="F51" s="212"/>
      <c r="G51" s="213"/>
      <c r="H51" s="89" t="s">
        <v>222</v>
      </c>
      <c r="I51" s="98"/>
      <c r="J51" s="98"/>
      <c r="K51" s="98"/>
      <c r="L51" s="98"/>
    </row>
    <row r="52" spans="1:16" ht="15" customHeight="1">
      <c r="A52" s="249" t="s">
        <v>242</v>
      </c>
      <c r="B52" s="250"/>
      <c r="C52" s="113" t="s">
        <v>133</v>
      </c>
      <c r="D52" s="100"/>
      <c r="E52" s="100"/>
      <c r="F52" s="100"/>
      <c r="G52" s="101"/>
      <c r="H52" s="102">
        <f>H73</f>
        <v>5236.722475275732</v>
      </c>
      <c r="I52" s="98"/>
      <c r="J52" s="98"/>
      <c r="K52" s="98"/>
      <c r="L52" s="98"/>
    </row>
    <row r="53" spans="1:16" ht="15" customHeight="1">
      <c r="A53" s="251"/>
      <c r="B53" s="252"/>
      <c r="C53" s="113" t="s">
        <v>30</v>
      </c>
      <c r="D53" s="100"/>
      <c r="E53" s="100"/>
      <c r="F53" s="100"/>
      <c r="G53" s="101"/>
      <c r="H53" s="102">
        <f>685+685</f>
        <v>1370</v>
      </c>
      <c r="I53" s="98"/>
      <c r="J53" s="98"/>
      <c r="K53" s="98"/>
      <c r="L53" s="98"/>
    </row>
    <row r="54" spans="1:16" ht="15">
      <c r="A54" s="251"/>
      <c r="B54" s="252"/>
      <c r="C54" s="190" t="s">
        <v>37</v>
      </c>
      <c r="D54" s="191"/>
      <c r="E54" s="191"/>
      <c r="F54" s="191"/>
      <c r="G54" s="192"/>
      <c r="H54" s="102">
        <f>2588</f>
        <v>2588</v>
      </c>
      <c r="I54" s="98"/>
      <c r="J54" s="98"/>
      <c r="K54" s="98"/>
      <c r="L54" s="98"/>
    </row>
    <row r="55" spans="1:16" ht="15">
      <c r="A55" s="251"/>
      <c r="B55" s="252"/>
      <c r="C55" s="255" t="s">
        <v>42</v>
      </c>
      <c r="D55" s="256"/>
      <c r="E55" s="256"/>
      <c r="F55" s="256"/>
      <c r="G55" s="257"/>
      <c r="H55" s="102"/>
      <c r="I55" s="98"/>
      <c r="J55" s="98"/>
      <c r="K55" s="98"/>
      <c r="L55" s="98"/>
    </row>
    <row r="56" spans="1:16" ht="14.25">
      <c r="A56" s="253"/>
      <c r="B56" s="254"/>
      <c r="C56" s="243" t="s">
        <v>224</v>
      </c>
      <c r="D56" s="214"/>
      <c r="E56" s="214"/>
      <c r="F56" s="214"/>
      <c r="G56" s="215"/>
      <c r="H56" s="102">
        <v>4177.5600000000004</v>
      </c>
      <c r="I56" s="96"/>
      <c r="J56" s="96"/>
    </row>
    <row r="57" spans="1:16">
      <c r="A57" s="95"/>
      <c r="B57" s="95"/>
      <c r="C57" s="95"/>
      <c r="D57" s="95"/>
      <c r="E57" s="96"/>
      <c r="F57" s="96"/>
      <c r="G57" s="96"/>
      <c r="H57" s="96"/>
      <c r="I57" s="96"/>
      <c r="J57" s="96"/>
    </row>
    <row r="58" spans="1:16">
      <c r="A58" s="90" t="s">
        <v>96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1:16" ht="18" customHeight="1">
      <c r="A59" s="180" t="s">
        <v>110</v>
      </c>
      <c r="B59" s="180"/>
      <c r="C59" s="180"/>
      <c r="D59" s="180"/>
      <c r="E59" s="180"/>
      <c r="F59" s="180"/>
      <c r="G59" s="180"/>
      <c r="H59" s="180"/>
      <c r="I59" s="105"/>
      <c r="J59" s="105"/>
    </row>
    <row r="60" spans="1:16" ht="12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</row>
    <row r="61" spans="1:16" ht="15.75">
      <c r="A61" s="181" t="s">
        <v>108</v>
      </c>
      <c r="B61" s="181"/>
      <c r="C61" s="181"/>
      <c r="D61" s="181"/>
      <c r="E61" s="181"/>
      <c r="F61" s="181"/>
      <c r="G61" s="181"/>
      <c r="H61" s="181"/>
      <c r="I61" s="74"/>
      <c r="J61" s="74"/>
    </row>
    <row r="62" spans="1:16" ht="15.75">
      <c r="A62" s="106"/>
      <c r="B62" s="106"/>
      <c r="C62" s="106"/>
      <c r="D62" s="106"/>
      <c r="E62" s="106"/>
      <c r="F62" s="106"/>
      <c r="G62" s="106"/>
      <c r="H62" s="99" t="s">
        <v>225</v>
      </c>
      <c r="J62" s="106"/>
    </row>
    <row r="63" spans="1:16" ht="15.75">
      <c r="A63" s="223" t="s">
        <v>109</v>
      </c>
      <c r="B63" s="223"/>
      <c r="C63" s="223"/>
      <c r="D63" s="223"/>
      <c r="E63" s="223"/>
      <c r="F63" s="223"/>
      <c r="G63" s="224"/>
      <c r="H63" s="107">
        <f>SUM(H71:H84)+H65+H70</f>
        <v>723249.28729050257</v>
      </c>
      <c r="I63" s="108"/>
      <c r="J63" s="108"/>
    </row>
    <row r="64" spans="1:16" ht="15">
      <c r="A64" s="109" t="s">
        <v>97</v>
      </c>
      <c r="B64" s="225" t="s">
        <v>98</v>
      </c>
      <c r="C64" s="226"/>
      <c r="D64" s="226"/>
      <c r="E64" s="226"/>
      <c r="F64" s="226"/>
      <c r="G64" s="227"/>
      <c r="H64" s="110" t="s">
        <v>99</v>
      </c>
      <c r="I64" s="111"/>
      <c r="K64" s="104"/>
    </row>
    <row r="65" spans="1:22" ht="15.75">
      <c r="A65" s="112" t="s">
        <v>100</v>
      </c>
      <c r="B65" s="113" t="s">
        <v>101</v>
      </c>
      <c r="C65" s="91"/>
      <c r="D65" s="91"/>
      <c r="E65" s="91"/>
      <c r="F65" s="91"/>
      <c r="G65" s="91"/>
      <c r="H65" s="94">
        <f>SUM(H66:H69)</f>
        <v>61845.40463645057</v>
      </c>
      <c r="I65" s="75"/>
    </row>
    <row r="66" spans="1:22" ht="15">
      <c r="A66" s="112"/>
      <c r="B66" s="113" t="s">
        <v>251</v>
      </c>
      <c r="C66" s="91"/>
      <c r="D66" s="91"/>
      <c r="E66" s="91"/>
      <c r="F66" s="91"/>
      <c r="G66" s="91"/>
      <c r="H66" s="102">
        <f>7346</f>
        <v>7346</v>
      </c>
      <c r="I66" s="75"/>
      <c r="K66" s="244"/>
      <c r="L66" s="244"/>
      <c r="M66" s="244"/>
      <c r="N66" s="244"/>
      <c r="O66" s="244"/>
      <c r="P66" s="244"/>
      <c r="Q66" s="244"/>
    </row>
    <row r="67" spans="1:22" ht="15">
      <c r="A67" s="112"/>
      <c r="B67" s="113" t="s">
        <v>38</v>
      </c>
      <c r="C67" s="91"/>
      <c r="D67" s="91"/>
      <c r="E67" s="91"/>
      <c r="F67" s="91"/>
      <c r="G67" s="91"/>
      <c r="H67" s="102">
        <f>6855+2990+2288</f>
        <v>12133</v>
      </c>
      <c r="I67" s="75"/>
      <c r="K67" s="155"/>
      <c r="L67" s="155"/>
      <c r="M67" s="155"/>
      <c r="N67" s="155"/>
      <c r="O67" s="155"/>
      <c r="P67" s="155"/>
      <c r="Q67" s="155"/>
    </row>
    <row r="68" spans="1:22" ht="15">
      <c r="A68" s="112"/>
      <c r="B68" s="113" t="s">
        <v>14</v>
      </c>
      <c r="C68" s="91"/>
      <c r="D68" s="91"/>
      <c r="E68" s="91"/>
      <c r="F68" s="91"/>
      <c r="G68" s="91"/>
      <c r="H68" s="102">
        <f>1209</f>
        <v>1209</v>
      </c>
      <c r="I68" s="75"/>
      <c r="K68" s="244"/>
      <c r="L68" s="244"/>
      <c r="M68" s="244"/>
      <c r="N68" s="244"/>
      <c r="O68" s="244"/>
      <c r="P68" s="244"/>
      <c r="Q68" s="244"/>
    </row>
    <row r="69" spans="1:22" ht="50.25" customHeight="1">
      <c r="A69" s="112"/>
      <c r="B69" s="206" t="s">
        <v>16</v>
      </c>
      <c r="C69" s="207"/>
      <c r="D69" s="207"/>
      <c r="E69" s="207"/>
      <c r="F69" s="207"/>
      <c r="G69" s="207"/>
      <c r="H69" s="102">
        <f>Основное!$D$7*Основное!I32</f>
        <v>41157.40463645057</v>
      </c>
      <c r="I69" s="75"/>
      <c r="K69" s="244"/>
      <c r="L69" s="244"/>
      <c r="M69" s="244"/>
      <c r="N69" s="244"/>
      <c r="O69" s="244"/>
      <c r="P69" s="244"/>
      <c r="Q69" s="244"/>
    </row>
    <row r="70" spans="1:22" ht="15">
      <c r="A70" s="112" t="s">
        <v>102</v>
      </c>
      <c r="B70" s="113" t="s">
        <v>139</v>
      </c>
      <c r="C70" s="91"/>
      <c r="D70" s="91"/>
      <c r="E70" s="91"/>
      <c r="F70" s="91"/>
      <c r="G70" s="91"/>
      <c r="H70" s="102">
        <f>Основное!$D$7*Основное!I33</f>
        <v>2592.7651981464501</v>
      </c>
      <c r="I70" s="75"/>
      <c r="K70" s="244"/>
      <c r="L70" s="244"/>
      <c r="M70" s="244"/>
      <c r="N70" s="244"/>
      <c r="O70" s="244"/>
      <c r="P70" s="244"/>
      <c r="Q70" s="244"/>
    </row>
    <row r="71" spans="1:22" ht="15">
      <c r="A71" s="112" t="s">
        <v>268</v>
      </c>
      <c r="B71" s="61" t="s">
        <v>267</v>
      </c>
      <c r="C71" s="91"/>
      <c r="D71" s="91"/>
      <c r="E71" s="91"/>
      <c r="F71" s="91"/>
      <c r="G71" s="91"/>
      <c r="H71" s="102">
        <f>Основное!$D$7*Основное!I34</f>
        <v>5540.107378096558</v>
      </c>
      <c r="I71" s="75"/>
      <c r="K71" s="155"/>
      <c r="L71" s="155"/>
      <c r="M71" s="155"/>
      <c r="N71" s="155"/>
      <c r="O71" s="155"/>
      <c r="P71" s="155"/>
      <c r="Q71" s="155"/>
    </row>
    <row r="72" spans="1:22" ht="14.25">
      <c r="A72" s="112" t="s">
        <v>269</v>
      </c>
      <c r="B72" s="113" t="s">
        <v>103</v>
      </c>
      <c r="C72" s="91"/>
      <c r="D72" s="91"/>
      <c r="E72" s="91"/>
      <c r="F72" s="91"/>
      <c r="G72" s="91"/>
      <c r="H72" s="102">
        <f>Основное!$D$7*Основное!I35</f>
        <v>29350.144747385788</v>
      </c>
      <c r="I72" s="114"/>
      <c r="J72" s="114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</row>
    <row r="73" spans="1:22" ht="14.25">
      <c r="A73" s="112" t="s">
        <v>265</v>
      </c>
      <c r="B73" s="113" t="s">
        <v>266</v>
      </c>
      <c r="C73" s="91"/>
      <c r="D73" s="91"/>
      <c r="E73" s="91"/>
      <c r="F73" s="91"/>
      <c r="G73" s="91"/>
      <c r="H73" s="102">
        <f>Основное!$D$7*Основное!I36</f>
        <v>5236.722475275732</v>
      </c>
      <c r="I73" s="114"/>
      <c r="J73" s="114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</row>
    <row r="74" spans="1:22" ht="15">
      <c r="A74" s="112" t="s">
        <v>270</v>
      </c>
      <c r="B74" s="113" t="s">
        <v>263</v>
      </c>
      <c r="C74" s="91"/>
      <c r="D74" s="91"/>
      <c r="E74" s="91"/>
      <c r="F74" s="91"/>
      <c r="G74" s="91"/>
      <c r="H74" s="102">
        <f>Основное!$D$7*Основное!I37</f>
        <v>48331.975726019235</v>
      </c>
      <c r="I74" s="75"/>
    </row>
    <row r="75" spans="1:22" ht="15">
      <c r="A75" s="112" t="s">
        <v>271</v>
      </c>
      <c r="B75" s="113" t="s">
        <v>264</v>
      </c>
      <c r="C75" s="91"/>
      <c r="D75" s="91"/>
      <c r="E75" s="91"/>
      <c r="F75" s="91"/>
      <c r="G75" s="91"/>
      <c r="H75" s="102">
        <f>Основное!$D$7*Основное!I38</f>
        <v>3491.9971751035951</v>
      </c>
      <c r="I75" s="75"/>
    </row>
    <row r="76" spans="1:22" ht="15">
      <c r="A76" s="112" t="s">
        <v>272</v>
      </c>
      <c r="B76" s="113" t="s">
        <v>104</v>
      </c>
      <c r="C76" s="91"/>
      <c r="D76" s="91"/>
      <c r="E76" s="91"/>
      <c r="F76" s="91"/>
      <c r="G76" s="91"/>
      <c r="H76" s="102">
        <f>Основное!$D$7*Основное!I39</f>
        <v>46918.068963258593</v>
      </c>
      <c r="I76" s="75"/>
    </row>
    <row r="77" spans="1:22" ht="15">
      <c r="A77" s="112" t="s">
        <v>273</v>
      </c>
      <c r="B77" s="113" t="s">
        <v>135</v>
      </c>
      <c r="C77" s="91"/>
      <c r="D77" s="91"/>
      <c r="E77" s="91"/>
      <c r="F77" s="91"/>
      <c r="G77" s="91"/>
      <c r="H77" s="102">
        <f>Основное!$D$7*Основное!I40</f>
        <v>112492.12934843729</v>
      </c>
      <c r="I77" s="75"/>
    </row>
    <row r="78" spans="1:22" ht="15">
      <c r="A78" s="112" t="s">
        <v>274</v>
      </c>
      <c r="B78" s="113" t="s">
        <v>140</v>
      </c>
      <c r="C78" s="91"/>
      <c r="D78" s="91"/>
      <c r="E78" s="91"/>
      <c r="F78" s="91"/>
      <c r="G78" s="91"/>
      <c r="H78" s="102">
        <f>Основное!$D$7*Основное!I41</f>
        <v>13432.476797594923</v>
      </c>
      <c r="I78" s="75"/>
    </row>
    <row r="79" spans="1:22" ht="15">
      <c r="A79" s="112" t="s">
        <v>275</v>
      </c>
      <c r="B79" s="113" t="s">
        <v>132</v>
      </c>
      <c r="C79" s="91"/>
      <c r="D79" s="91"/>
      <c r="E79" s="91"/>
      <c r="F79" s="91"/>
      <c r="G79" s="91"/>
      <c r="H79" s="102">
        <f>Основное!$D$7*Основное!I42</f>
        <v>6974.8987555885496</v>
      </c>
      <c r="I79" s="75"/>
    </row>
    <row r="80" spans="1:22" ht="15">
      <c r="A80" s="112" t="s">
        <v>276</v>
      </c>
      <c r="B80" s="113" t="s">
        <v>138</v>
      </c>
      <c r="C80" s="91"/>
      <c r="D80" s="91"/>
      <c r="E80" s="91"/>
      <c r="F80" s="91"/>
      <c r="G80" s="91"/>
      <c r="H80" s="102">
        <f>Основное!$D$7*Основное!I43</f>
        <v>2569.7597450588969</v>
      </c>
      <c r="I80" s="75"/>
    </row>
    <row r="81" spans="1:15" ht="15">
      <c r="A81" s="112" t="s">
        <v>277</v>
      </c>
      <c r="B81" s="113" t="s">
        <v>105</v>
      </c>
      <c r="C81" s="91"/>
      <c r="D81" s="91"/>
      <c r="E81" s="91"/>
      <c r="F81" s="91"/>
      <c r="G81" s="91"/>
      <c r="H81" s="102">
        <f>Основное!$D$7*Основное!I44</f>
        <v>303677.86350027425</v>
      </c>
      <c r="I81" s="75"/>
    </row>
    <row r="82" spans="1:15" ht="15">
      <c r="A82" s="112" t="s">
        <v>278</v>
      </c>
      <c r="B82" s="113" t="s">
        <v>131</v>
      </c>
      <c r="C82" s="91"/>
      <c r="D82" s="91"/>
      <c r="E82" s="91"/>
      <c r="F82" s="91"/>
      <c r="G82" s="91"/>
      <c r="H82" s="102">
        <f>Основное!$D$7*Основное!I45</f>
        <v>61342.928427055384</v>
      </c>
      <c r="I82" s="75"/>
    </row>
    <row r="83" spans="1:15" ht="15">
      <c r="A83" s="112" t="s">
        <v>279</v>
      </c>
      <c r="B83" s="113" t="s">
        <v>127</v>
      </c>
      <c r="C83" s="91"/>
      <c r="D83" s="91"/>
      <c r="E83" s="91"/>
      <c r="F83" s="91"/>
      <c r="G83" s="91"/>
      <c r="H83" s="102">
        <f>Основное!$D$7*Основное!I46</f>
        <v>9125.6140462875901</v>
      </c>
      <c r="I83" s="75"/>
    </row>
    <row r="84" spans="1:15" ht="15">
      <c r="A84" s="112" t="s">
        <v>280</v>
      </c>
      <c r="B84" s="113" t="s">
        <v>44</v>
      </c>
      <c r="C84" s="91"/>
      <c r="D84" s="91"/>
      <c r="E84" s="91"/>
      <c r="F84" s="91"/>
      <c r="G84" s="91"/>
      <c r="H84" s="102">
        <f>Основное!$D$7*Основное!I47</f>
        <v>10326.430370469136</v>
      </c>
      <c r="I84" s="75"/>
    </row>
    <row r="85" spans="1:15">
      <c r="A85" s="116"/>
      <c r="B85" s="116"/>
      <c r="C85" s="116"/>
      <c r="D85" s="116"/>
      <c r="E85" s="116"/>
      <c r="F85" s="116"/>
      <c r="G85" s="116"/>
      <c r="H85" s="117"/>
      <c r="I85" s="114"/>
      <c r="J85" s="114"/>
    </row>
    <row r="86" spans="1:15" s="142" customFormat="1" ht="26.25" customHeight="1">
      <c r="A86" s="182" t="s">
        <v>11</v>
      </c>
      <c r="B86" s="182"/>
      <c r="C86" s="182"/>
      <c r="D86" s="182"/>
      <c r="E86" s="182"/>
      <c r="F86" s="182"/>
      <c r="G86" s="182"/>
      <c r="H86" s="182"/>
      <c r="I86" s="118"/>
      <c r="J86" s="118"/>
      <c r="K86" s="82"/>
    </row>
    <row r="87" spans="1:15" s="142" customFormat="1">
      <c r="A87" s="119"/>
      <c r="B87" s="208"/>
      <c r="C87" s="208"/>
      <c r="D87" s="208"/>
      <c r="E87" s="208"/>
      <c r="F87" s="208"/>
      <c r="G87" s="208"/>
      <c r="H87" s="208"/>
      <c r="I87" s="120"/>
      <c r="J87" s="120"/>
    </row>
    <row r="88" spans="1:15" s="142" customFormat="1" ht="15.75">
      <c r="A88" s="177" t="s">
        <v>254</v>
      </c>
      <c r="B88" s="177"/>
      <c r="C88" s="177"/>
      <c r="D88" s="177"/>
      <c r="E88" s="177"/>
      <c r="F88" s="177"/>
      <c r="G88" s="119"/>
      <c r="I88" s="119"/>
    </row>
    <row r="89" spans="1:15" s="142" customFormat="1" ht="15.75">
      <c r="A89" s="111"/>
      <c r="B89" s="111"/>
      <c r="C89" s="111"/>
      <c r="D89" s="111"/>
      <c r="E89" s="86"/>
      <c r="F89" s="82"/>
      <c r="G89" s="121" t="s">
        <v>226</v>
      </c>
      <c r="H89" s="120"/>
      <c r="I89" s="120"/>
    </row>
    <row r="90" spans="1:15" s="142" customFormat="1" ht="34.5" customHeight="1">
      <c r="A90" s="122" t="s">
        <v>257</v>
      </c>
      <c r="B90" s="122" t="s">
        <v>256</v>
      </c>
      <c r="C90" s="123" t="s">
        <v>228</v>
      </c>
      <c r="D90" s="124" t="s">
        <v>252</v>
      </c>
      <c r="E90" s="124" t="s">
        <v>253</v>
      </c>
      <c r="F90" s="172" t="s">
        <v>258</v>
      </c>
      <c r="I90" s="120"/>
    </row>
    <row r="91" spans="1:15" s="83" customFormat="1" ht="15">
      <c r="A91" s="141">
        <v>1026.48</v>
      </c>
      <c r="B91" s="145">
        <v>4320</v>
      </c>
      <c r="C91" s="141">
        <v>6000</v>
      </c>
      <c r="D91" s="139">
        <v>6000</v>
      </c>
      <c r="E91" s="139">
        <v>6600</v>
      </c>
      <c r="F91" s="173">
        <f>SUM(A91:E91)</f>
        <v>23946.48</v>
      </c>
      <c r="G91" s="125"/>
      <c r="H91" s="125"/>
      <c r="I91" s="125"/>
    </row>
    <row r="92" spans="1:15" s="142" customFormat="1" ht="15">
      <c r="A92" s="126"/>
      <c r="B92" s="126"/>
      <c r="C92" s="127"/>
      <c r="D92" s="127"/>
      <c r="E92" s="127"/>
      <c r="F92" s="127"/>
      <c r="G92" s="82"/>
      <c r="H92" s="120"/>
      <c r="I92" s="120"/>
      <c r="J92" s="120"/>
    </row>
    <row r="93" spans="1:15" s="142" customFormat="1" ht="93" customHeight="1">
      <c r="A93" s="221" t="s">
        <v>45</v>
      </c>
      <c r="B93" s="221"/>
      <c r="C93" s="221"/>
      <c r="D93" s="221"/>
      <c r="E93" s="221"/>
      <c r="F93" s="221"/>
      <c r="G93" s="221"/>
      <c r="H93" s="221"/>
      <c r="I93" s="128"/>
      <c r="J93" s="128"/>
      <c r="K93" s="128"/>
      <c r="L93" s="128"/>
    </row>
    <row r="94" spans="1:15" ht="60.75" customHeight="1">
      <c r="A94" s="222" t="s">
        <v>46</v>
      </c>
      <c r="B94" s="222"/>
      <c r="C94" s="222"/>
      <c r="D94" s="222"/>
      <c r="E94" s="222"/>
      <c r="F94" s="222"/>
      <c r="G94" s="222"/>
      <c r="H94" s="222"/>
      <c r="I94" s="129"/>
      <c r="J94" s="129"/>
      <c r="K94" s="129"/>
      <c r="L94" s="129"/>
      <c r="M94" s="129"/>
      <c r="N94" s="129"/>
      <c r="O94" s="129"/>
    </row>
    <row r="95" spans="1:1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1:15" ht="15">
      <c r="A96" s="235" t="s">
        <v>175</v>
      </c>
      <c r="B96" s="235"/>
      <c r="C96" s="235"/>
      <c r="D96" s="235"/>
      <c r="E96" s="235"/>
      <c r="F96" s="235"/>
      <c r="G96" s="235"/>
      <c r="H96" s="235"/>
      <c r="I96" s="131"/>
      <c r="J96" s="132"/>
      <c r="K96" s="132"/>
      <c r="L96" s="132"/>
      <c r="M96" s="132"/>
      <c r="N96" s="132"/>
      <c r="O96" s="132"/>
    </row>
    <row r="97" spans="1:15" ht="15">
      <c r="A97" s="235" t="s">
        <v>234</v>
      </c>
      <c r="B97" s="235"/>
      <c r="C97" s="235"/>
      <c r="D97" s="235"/>
      <c r="E97" s="235"/>
      <c r="F97" s="235"/>
      <c r="G97" s="235"/>
      <c r="H97" s="235"/>
      <c r="I97" s="131"/>
      <c r="J97" s="132"/>
      <c r="K97" s="132"/>
      <c r="L97" s="132"/>
      <c r="M97" s="132"/>
      <c r="N97" s="132"/>
      <c r="O97" s="132"/>
    </row>
    <row r="98" spans="1:15" ht="14.25">
      <c r="A98" s="186" t="s">
        <v>229</v>
      </c>
      <c r="B98" s="186"/>
      <c r="C98" s="186"/>
      <c r="D98" s="186"/>
      <c r="E98" s="186"/>
      <c r="F98" s="186"/>
      <c r="G98" s="186"/>
      <c r="H98" s="186"/>
      <c r="I98" s="146"/>
      <c r="J98" s="146"/>
      <c r="K98" s="146"/>
      <c r="L98" s="146"/>
      <c r="M98" s="146"/>
      <c r="N98" s="146"/>
      <c r="O98" s="146"/>
    </row>
    <row r="99" spans="1:15" ht="15">
      <c r="A99" s="175" t="s">
        <v>235</v>
      </c>
      <c r="B99" s="175"/>
      <c r="C99" s="175"/>
      <c r="D99" s="175"/>
      <c r="E99" s="175"/>
      <c r="F99" s="175"/>
      <c r="G99" s="175"/>
      <c r="H99" s="175"/>
      <c r="I99" s="133"/>
      <c r="J99" s="134"/>
      <c r="K99" s="134"/>
      <c r="L99" s="134"/>
      <c r="M99" s="134"/>
      <c r="N99" s="134"/>
      <c r="O99" s="134"/>
    </row>
    <row r="100" spans="1:15" ht="15">
      <c r="A100" s="176" t="s">
        <v>230</v>
      </c>
      <c r="B100" s="176"/>
      <c r="C100" s="176"/>
      <c r="D100" s="176"/>
      <c r="E100" s="176"/>
      <c r="F100" s="176"/>
      <c r="G100" s="176"/>
      <c r="H100" s="176"/>
      <c r="I100" s="135"/>
      <c r="J100" s="136"/>
      <c r="K100" s="136"/>
      <c r="L100" s="136"/>
      <c r="M100" s="136"/>
      <c r="N100" s="136"/>
      <c r="O100" s="136"/>
    </row>
  </sheetData>
  <sheetProtection password="CC5F" sheet="1" objects="1" scenarios="1" selectLockedCells="1" selectUnlockedCells="1"/>
  <mergeCells count="52">
    <mergeCell ref="A88:F88"/>
    <mergeCell ref="C54:G54"/>
    <mergeCell ref="K72:V72"/>
    <mergeCell ref="B87:H87"/>
    <mergeCell ref="K68:Q68"/>
    <mergeCell ref="K69:Q69"/>
    <mergeCell ref="A63:G63"/>
    <mergeCell ref="B64:G64"/>
    <mergeCell ref="K66:Q66"/>
    <mergeCell ref="C56:G56"/>
    <mergeCell ref="A98:H98"/>
    <mergeCell ref="A99:H99"/>
    <mergeCell ref="A100:H100"/>
    <mergeCell ref="A94:H94"/>
    <mergeCell ref="A93:H93"/>
    <mergeCell ref="A96:H96"/>
    <mergeCell ref="A97:H97"/>
    <mergeCell ref="K70:Q70"/>
    <mergeCell ref="B69:G69"/>
    <mergeCell ref="E21:E23"/>
    <mergeCell ref="A24:B24"/>
    <mergeCell ref="H21:H23"/>
    <mergeCell ref="A47:H47"/>
    <mergeCell ref="A49:H49"/>
    <mergeCell ref="A31:H31"/>
    <mergeCell ref="C32:D32"/>
    <mergeCell ref="C55:G55"/>
    <mergeCell ref="B20:F20"/>
    <mergeCell ref="A21:B23"/>
    <mergeCell ref="A61:H61"/>
    <mergeCell ref="C39:G39"/>
    <mergeCell ref="A86:H86"/>
    <mergeCell ref="C45:G45"/>
    <mergeCell ref="A34:B45"/>
    <mergeCell ref="A51:B51"/>
    <mergeCell ref="C51:G51"/>
    <mergeCell ref="A59:H59"/>
    <mergeCell ref="A1:H1"/>
    <mergeCell ref="A2:H2"/>
    <mergeCell ref="A3:H3"/>
    <mergeCell ref="A19:H19"/>
    <mergeCell ref="A17:H17"/>
    <mergeCell ref="E5:H7"/>
    <mergeCell ref="A52:B56"/>
    <mergeCell ref="C21:C23"/>
    <mergeCell ref="F21:F23"/>
    <mergeCell ref="A28:G28"/>
    <mergeCell ref="D21:D23"/>
    <mergeCell ref="E32:F32"/>
    <mergeCell ref="A33:B33"/>
    <mergeCell ref="C33:G33"/>
    <mergeCell ref="G21:G23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2"/>
  <headerFooter alignWithMargins="0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Основное</vt:lpstr>
      <vt:lpstr>с ОПУ</vt:lpstr>
      <vt:lpstr>Строителей 3</vt:lpstr>
      <vt:lpstr>Строителей 11</vt:lpstr>
      <vt:lpstr>Энергетиков 25</vt:lpstr>
      <vt:lpstr>Энергетиков 27</vt:lpstr>
      <vt:lpstr>Энергетиков 29</vt:lpstr>
      <vt:lpstr>Мира 1</vt:lpstr>
      <vt:lpstr>'Мира 1'!Область_печати</vt:lpstr>
      <vt:lpstr>Основное!Область_печати</vt:lpstr>
      <vt:lpstr>'Строителей 11'!Область_печати</vt:lpstr>
      <vt:lpstr>'Строителей 3'!Область_печати</vt:lpstr>
      <vt:lpstr>'Энергетиков 25'!Область_печати</vt:lpstr>
      <vt:lpstr>'Энергетиков 27'!Область_печати</vt:lpstr>
      <vt:lpstr>'Энергетиков 29'!Область_печати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2019-04-01T05:40:30Z</dcterms:modified>
</cp:coreProperties>
</file>