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480" windowHeight="9210" tabRatio="950" firstSheet="7" activeTab="7"/>
  </bookViews>
  <sheets>
    <sheet name="Основное" sheetId="4" r:id="rId1"/>
    <sheet name="с ОПУ" sheetId="62" r:id="rId2"/>
    <sheet name="Строителей 3" sheetId="32" r:id="rId3"/>
    <sheet name="Строителей 11" sheetId="31" r:id="rId4"/>
    <sheet name="Энергетиков 25" sheetId="30" r:id="rId5"/>
    <sheet name="Энергетиков 27" sheetId="60" r:id="rId6"/>
    <sheet name="Энергетиков 29" sheetId="59" r:id="rId7"/>
    <sheet name="Мира 21" sheetId="43" r:id="rId8"/>
  </sheets>
  <definedNames>
    <definedName name="_xlnm.Print_Area" localSheetId="7">'Мира 21'!$A$1:$H$105</definedName>
    <definedName name="_xlnm.Print_Area" localSheetId="0">Основное!$A$1:$J$30</definedName>
    <definedName name="_xlnm.Print_Area" localSheetId="3">'Строителей 11'!$A$1:$H$94</definedName>
    <definedName name="_xlnm.Print_Area" localSheetId="2">'Строителей 3'!$A$1:$H$100</definedName>
    <definedName name="_xlnm.Print_Area" localSheetId="4">'Энергетиков 25'!$A$1:$H$100</definedName>
    <definedName name="_xlnm.Print_Area" localSheetId="5">'Энергетиков 27'!$A$1:$H$97</definedName>
    <definedName name="_xlnm.Print_Area" localSheetId="6">'Энергетиков 29'!$A$1:$H$92</definedName>
  </definedNames>
  <calcPr calcId="124519"/>
</workbook>
</file>

<file path=xl/calcChain.xml><?xml version="1.0" encoding="utf-8"?>
<calcChain xmlns="http://schemas.openxmlformats.org/spreadsheetml/2006/main">
  <c r="C83" i="59"/>
  <c r="G88" i="60"/>
  <c r="G91" i="30"/>
  <c r="G91" i="32"/>
  <c r="F85" i="31"/>
  <c r="H41" i="43"/>
  <c r="H24"/>
  <c r="H24" i="59"/>
  <c r="H24" i="60"/>
  <c r="H24" i="31"/>
  <c r="H24" i="32"/>
  <c r="H24" i="30"/>
  <c r="H75" i="43"/>
  <c r="H64" i="59"/>
  <c r="H70" i="32"/>
  <c r="H67" i="60"/>
  <c r="H70" i="30"/>
  <c r="H64" i="31"/>
  <c r="H76" i="43"/>
  <c r="H65" i="59"/>
  <c r="H68" i="60"/>
  <c r="H71" i="30"/>
  <c r="H65" i="31"/>
  <c r="H71" i="32"/>
  <c r="H78" i="43"/>
  <c r="H58"/>
  <c r="H67" i="59"/>
  <c r="H46"/>
  <c r="H73" i="30"/>
  <c r="H51" s="1"/>
  <c r="H67" i="31"/>
  <c r="H47" s="1"/>
  <c r="H73" i="32"/>
  <c r="H52" s="1"/>
  <c r="H70" i="60"/>
  <c r="H49" s="1"/>
  <c r="H41" i="4"/>
  <c r="H74" i="43"/>
  <c r="H69" s="1"/>
  <c r="H63" i="59"/>
  <c r="H66" i="60"/>
  <c r="H69" i="30"/>
  <c r="H63" i="31"/>
  <c r="H69" i="32"/>
  <c r="H87" i="43"/>
  <c r="H86"/>
  <c r="H32" i="4"/>
  <c r="H34"/>
  <c r="H45"/>
  <c r="H47"/>
  <c r="H46"/>
  <c r="H43"/>
  <c r="H42"/>
  <c r="H35" i="59"/>
  <c r="H34" i="60"/>
  <c r="H40"/>
  <c r="H36" i="30"/>
  <c r="H36" i="43"/>
  <c r="H37"/>
  <c r="H40"/>
  <c r="H35" i="32"/>
  <c r="H36"/>
  <c r="H68" i="30"/>
  <c r="H53"/>
  <c r="H65" i="60"/>
  <c r="H51"/>
  <c r="H73" i="43"/>
  <c r="H55"/>
  <c r="H38" i="31"/>
  <c r="H62" i="59"/>
  <c r="H48"/>
  <c r="H62" i="31"/>
  <c r="H49"/>
  <c r="H56" i="43"/>
  <c r="H68" i="32"/>
  <c r="H54"/>
  <c r="H47" i="59"/>
  <c r="H50" i="60"/>
  <c r="H52" i="30"/>
  <c r="H48" i="31"/>
  <c r="H53" i="32"/>
  <c r="H57" i="43"/>
  <c r="H72"/>
  <c r="H67" i="32"/>
  <c r="H38"/>
  <c r="H44" i="30"/>
  <c r="H43"/>
  <c r="H39" i="59"/>
  <c r="H60"/>
  <c r="H34"/>
  <c r="H66" i="30"/>
  <c r="H35"/>
  <c r="H38" i="59"/>
  <c r="H45" i="32"/>
  <c r="H66"/>
  <c r="H34"/>
  <c r="H47" i="43"/>
  <c r="H35" i="31"/>
  <c r="H46" i="43"/>
  <c r="H42" i="32"/>
  <c r="H48" i="43"/>
  <c r="H41" i="30"/>
  <c r="H41" i="60"/>
  <c r="H64"/>
  <c r="H36"/>
  <c r="H43" i="43"/>
  <c r="H42" i="60"/>
  <c r="H71" i="43"/>
  <c r="H38"/>
  <c r="H67" i="30"/>
  <c r="H34"/>
  <c r="H62" i="60"/>
  <c r="H35"/>
  <c r="H65" i="30"/>
  <c r="H39" i="43"/>
  <c r="H44"/>
  <c r="H40" i="30"/>
  <c r="H41" i="32"/>
  <c r="H70" i="43"/>
  <c r="H34"/>
  <c r="H61" i="31"/>
  <c r="H34"/>
  <c r="H40"/>
  <c r="H63" i="60"/>
  <c r="H37"/>
  <c r="H61" i="59"/>
  <c r="H35" i="43"/>
  <c r="H43" i="32"/>
  <c r="H45" i="43"/>
  <c r="H37" i="30"/>
  <c r="H37" i="32"/>
  <c r="H42" i="30"/>
  <c r="H39" i="31"/>
  <c r="H44" i="32"/>
  <c r="F24" i="43"/>
  <c r="H96"/>
  <c r="F24" i="59"/>
  <c r="H36"/>
  <c r="F24" i="60"/>
  <c r="H38"/>
  <c r="F24" i="30"/>
  <c r="H38"/>
  <c r="F24" i="31"/>
  <c r="H36"/>
  <c r="H60"/>
  <c r="H58" s="1"/>
  <c r="F24" i="32"/>
  <c r="H39"/>
  <c r="I2" i="62"/>
  <c r="C4"/>
  <c r="I14"/>
  <c r="D13"/>
  <c r="C15"/>
  <c r="H15"/>
  <c r="I15"/>
  <c r="E13"/>
  <c r="D18"/>
  <c r="E18"/>
  <c r="D19"/>
  <c r="E19"/>
  <c r="D20"/>
  <c r="E20"/>
  <c r="D21"/>
  <c r="E21"/>
  <c r="D22"/>
  <c r="E22"/>
  <c r="D23"/>
  <c r="E23"/>
  <c r="D24"/>
  <c r="E24"/>
  <c r="D25"/>
  <c r="E25"/>
  <c r="D26"/>
  <c r="E26"/>
  <c r="D27"/>
  <c r="E27"/>
  <c r="D28"/>
  <c r="E28"/>
  <c r="D29"/>
  <c r="E29"/>
  <c r="D30"/>
  <c r="E30"/>
  <c r="D31"/>
  <c r="E31"/>
  <c r="D32"/>
  <c r="E32"/>
  <c r="D33"/>
  <c r="E33"/>
  <c r="D34"/>
  <c r="E34"/>
  <c r="D35"/>
  <c r="E35"/>
  <c r="D36"/>
  <c r="E36"/>
  <c r="D37"/>
  <c r="E37"/>
  <c r="D38"/>
  <c r="E38"/>
  <c r="D39"/>
  <c r="E39"/>
  <c r="D40"/>
  <c r="E40"/>
  <c r="D41"/>
  <c r="E41"/>
  <c r="D42"/>
  <c r="E42"/>
  <c r="D43"/>
  <c r="E43"/>
  <c r="D44"/>
  <c r="E44"/>
  <c r="D45"/>
  <c r="E45"/>
  <c r="C46"/>
  <c r="D30" i="4"/>
  <c r="E30"/>
  <c r="F30"/>
  <c r="I32"/>
  <c r="I33"/>
  <c r="I34"/>
  <c r="I35"/>
  <c r="I36"/>
  <c r="I37"/>
  <c r="I38"/>
  <c r="I39"/>
  <c r="I40"/>
  <c r="I41"/>
  <c r="I42"/>
  <c r="I43"/>
  <c r="I44"/>
  <c r="I45"/>
  <c r="I46"/>
  <c r="I47"/>
  <c r="H49"/>
  <c r="I49"/>
  <c r="H89" i="43"/>
  <c r="H88"/>
  <c r="H85"/>
  <c r="H84"/>
  <c r="H83"/>
  <c r="H82"/>
  <c r="H81"/>
  <c r="H80"/>
  <c r="H79"/>
  <c r="G26" i="4"/>
  <c r="G30"/>
  <c r="H77" i="43"/>
  <c r="E14" i="62"/>
  <c r="D14"/>
  <c r="H84" i="32"/>
  <c r="H83"/>
  <c r="H82"/>
  <c r="H81"/>
  <c r="H80"/>
  <c r="H79"/>
  <c r="H78"/>
  <c r="H77"/>
  <c r="H76"/>
  <c r="H75"/>
  <c r="H74"/>
  <c r="H72"/>
  <c r="H65"/>
  <c r="H63" s="1"/>
  <c r="H78" i="31"/>
  <c r="H77"/>
  <c r="H76"/>
  <c r="H75"/>
  <c r="H74"/>
  <c r="H73"/>
  <c r="H72"/>
  <c r="H71"/>
  <c r="H70"/>
  <c r="H69"/>
  <c r="H68"/>
  <c r="H66"/>
  <c r="H84" i="30"/>
  <c r="H83"/>
  <c r="H82"/>
  <c r="H81"/>
  <c r="H80"/>
  <c r="H79"/>
  <c r="H78"/>
  <c r="H77"/>
  <c r="H76"/>
  <c r="H75"/>
  <c r="H74"/>
  <c r="H72"/>
  <c r="H64"/>
  <c r="H62" s="1"/>
  <c r="H81" i="60"/>
  <c r="H80"/>
  <c r="H79"/>
  <c r="H78"/>
  <c r="H77"/>
  <c r="H76"/>
  <c r="H75"/>
  <c r="H74"/>
  <c r="H73"/>
  <c r="H72"/>
  <c r="H71"/>
  <c r="H69"/>
  <c r="H61"/>
  <c r="H59" s="1"/>
  <c r="H76" i="59"/>
  <c r="H75"/>
  <c r="H74"/>
  <c r="H73"/>
  <c r="H72"/>
  <c r="H71"/>
  <c r="H70"/>
  <c r="H69"/>
  <c r="H68"/>
  <c r="H66"/>
  <c r="H59"/>
  <c r="H57" s="1"/>
  <c r="H67" i="43" l="1"/>
  <c r="O32" i="4"/>
  <c r="K36"/>
</calcChain>
</file>

<file path=xl/comments1.xml><?xml version="1.0" encoding="utf-8"?>
<comments xmlns="http://schemas.openxmlformats.org/spreadsheetml/2006/main">
  <authors>
    <author>Smeta</author>
    <author>1</author>
  </authors>
  <commentList>
    <comment ref="G32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мат отчёт-материалы повышающий- материалы разнесённые по домам
</t>
        </r>
      </text>
    </comment>
    <comment ref="K32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материалы (веники,канцтовары…)</t>
        </r>
      </text>
    </comment>
    <comment ref="K33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финансайти</t>
        </r>
      </text>
    </comment>
    <comment ref="M33" authorId="0">
      <text>
        <r>
          <rPr>
            <b/>
            <sz val="10"/>
            <color indexed="81"/>
            <rFont val="Tahoma"/>
            <family val="2"/>
            <charset val="204"/>
          </rPr>
          <t>догодаев</t>
        </r>
      </text>
    </comment>
    <comment ref="O33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покос травы</t>
        </r>
      </text>
    </comment>
    <comment ref="G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согласно приложения к договору</t>
        </r>
      </text>
    </comment>
    <comment ref="H40" authorId="1">
      <text>
        <r>
          <rPr>
            <sz val="8"/>
            <color indexed="81"/>
            <rFont val="Tahoma"/>
            <family val="2"/>
            <charset val="204"/>
          </rPr>
          <t>услуги гранит(справки еиркц, оплачено) или сч.62 кредит</t>
        </r>
      </text>
    </comment>
    <comment ref="H41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разница лифт оплачено(страх.лифта, тех.обслуж.) и гранит
</t>
        </r>
      </text>
    </comment>
  </commentList>
</comments>
</file>

<file path=xl/sharedStrings.xml><?xml version="1.0" encoding="utf-8"?>
<sst xmlns="http://schemas.openxmlformats.org/spreadsheetml/2006/main" count="861" uniqueCount="291">
  <si>
    <t xml:space="preserve">ремонт электрооборудования </t>
  </si>
  <si>
    <t>Замена электрооборудования (эл.лампы)</t>
  </si>
  <si>
    <t>Общая площадь дома - 9598,80 кв. м</t>
  </si>
  <si>
    <t>Общая площадь квартир - 7702,20 кв.м.</t>
  </si>
  <si>
    <t>Доходы полученные от размещения рекламы и предоставления места под аренду в многоквартирном доме №11 по ул.Строителей представлены в таблице №5</t>
  </si>
  <si>
    <t>Доходы полученные от размещения рекламы и предоставления места под аренду в многоквартирном доме №25 по ул.Энергетиков представлены в таблице №5</t>
  </si>
  <si>
    <t>Ремонт кровли</t>
  </si>
  <si>
    <t>Общая площадь квартир - 5475,70 кв.м.</t>
  </si>
  <si>
    <t>Общая площадь дома - 7186,20 кв. м</t>
  </si>
  <si>
    <t>Общая площадь дома - 5161,20 кв. м</t>
  </si>
  <si>
    <t>Дополнительные доходы (реклама в лифте,размещение оборудования сотовой связи),руб.</t>
  </si>
  <si>
    <t>Доходы полученные от размещения рекламы и предоставления места под аренду в многоквартирном доме №29 по ул.Энергетиков представлены в таблице №5</t>
  </si>
  <si>
    <t>Доходы полученные от размещения рекламы и предоставления места под аренду в многоквартирном доме №27 по ул.Энергетиков представлены в таблице №5</t>
  </si>
  <si>
    <t>содержание (лампы)</t>
  </si>
  <si>
    <t>Смена вентилей,внутр.трубопроводов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</si>
  <si>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песок,замки и т.д.)</t>
    </r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</si>
  <si>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 скобяные изделия, песок,замки и т.д.)</t>
    </r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</si>
  <si>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краска,скобяные изделия, песок,замки и т.д.)</t>
    </r>
  </si>
  <si>
    <t>Общая площадь квартир -11395,20 кв.м.</t>
  </si>
  <si>
    <t>Общая площадь дома - 14326,10 кв. м</t>
  </si>
  <si>
    <t>Содержание оборудования домофона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</si>
  <si>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стекло,песок,замки и т.д.)</t>
    </r>
  </si>
  <si>
    <t>Доходы полученные от размещения рекламы и предоставления места под аренду в многоквартирном доме №21 по ул.Мира представлены в таблице №5</t>
  </si>
  <si>
    <t>Замена доводчика</t>
  </si>
  <si>
    <t>Замена автоматических выключателей,светильник</t>
  </si>
  <si>
    <t>Обслуживание ОПУ по ГВС, ХВС</t>
  </si>
  <si>
    <t xml:space="preserve">за период: 2017 г. </t>
  </si>
  <si>
    <t>0,66 руб/м²</t>
  </si>
  <si>
    <t>Движение денежных средств по статье текущий ремонт за 2017г.</t>
  </si>
  <si>
    <t>Общая площадь квартир - 9509,18 кв.м.</t>
  </si>
  <si>
    <t>содержание (лампы, оборудование домофона)</t>
  </si>
  <si>
    <t>Содержание (лампы, оборудования домофона)</t>
  </si>
  <si>
    <t>содержание (лампы, оборудования домофона.)</t>
  </si>
  <si>
    <t xml:space="preserve"> об исполнении договора управления жилым домом №29 по ул.Энергетиков.</t>
  </si>
  <si>
    <t>Общая площадь квартир -3846,10 кв.м.</t>
  </si>
  <si>
    <t>Окраска мусорных контейнеров,скамеек,дверей</t>
  </si>
  <si>
    <t>Ремонт межпанельных швов</t>
  </si>
  <si>
    <t xml:space="preserve">ремонт общестроительный </t>
  </si>
  <si>
    <t>Смена светильника,трансформатора,авт.выключатель</t>
  </si>
  <si>
    <t>Смена доводчика</t>
  </si>
  <si>
    <t>Установка счетильников,трансформатор,эл.сч.</t>
  </si>
  <si>
    <t>Ремонт крыльца</t>
  </si>
  <si>
    <t>Содержание (лампы)</t>
  </si>
  <si>
    <t>ремонт общестроительный</t>
  </si>
  <si>
    <t>окраска мусорных контейнеров,скамеек,дверей</t>
  </si>
  <si>
    <t>Замена светильника,трансформатора,эл.сч.,кронштейн</t>
  </si>
  <si>
    <t>Окраска мусорных контейнеров,скамеек,дверей,малые формы</t>
  </si>
  <si>
    <t>Перечень выполненных работ</t>
  </si>
  <si>
    <t>Перечень выполненных работ по программе энергосбержения</t>
  </si>
  <si>
    <t>Работы по ремонту инженерного оборудования и других видов по содержанию общего имущества многоквартирного дома</t>
  </si>
  <si>
    <r>
      <t xml:space="preserve">Прочие </t>
    </r>
    <r>
      <rPr>
        <sz val="8"/>
        <rFont val="Arial"/>
        <family val="2"/>
        <charset val="204"/>
      </rPr>
      <t>(услуги банка,програмное обеспечение,штрафы)</t>
    </r>
  </si>
  <si>
    <t xml:space="preserve">Приоритеты работы ООО «Благоустроенный город»: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</si>
  <si>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«Благоустроенный город»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</si>
  <si>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электрогазосварщик, кровельщик, контролер по учету эл/эн, АУП)</t>
  </si>
  <si>
    <t>Работы по ремонту инженерного оборудования и других видов общего по содержанию имущества многоквартирного дома</t>
  </si>
  <si>
    <t>ул.Энергетиков д.29</t>
  </si>
  <si>
    <t>Перечень  выполненных работ</t>
  </si>
  <si>
    <t>Перечень  выполненных работ по программе энергосбержения</t>
  </si>
  <si>
    <t xml:space="preserve">за период: 2018 г. </t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</si>
  <si>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№594 от 31.05.2018г.  и общим собранием собственников: </t>
    </r>
    <r>
      <rPr>
        <b/>
        <sz val="11"/>
        <rFont val="Arial"/>
        <family val="2"/>
        <charset val="204"/>
      </rPr>
      <t xml:space="preserve">17,26 руб/м², </t>
    </r>
  </si>
  <si>
    <t>1,60 руб/м²</t>
  </si>
  <si>
    <t>10,54 руб/м²</t>
  </si>
  <si>
    <t>В таблице №1 приведено движение денежных средств по статье текущий ремонт  по лицевому счету дома №3 по ул.Строителей за 2018г.</t>
  </si>
  <si>
    <t>Движение денежных средств по статье текущий ремонт за 2018г.</t>
  </si>
  <si>
    <t xml:space="preserve">В 2018 году были произведены следующие виды работ по текущему ремонту, </t>
  </si>
  <si>
    <t>Утепление межпанельных швов ООО Ирбис</t>
  </si>
  <si>
    <t>Установка металических дверей ИП. Дурнев</t>
  </si>
  <si>
    <t>В ходе плановых осмотров, а также на основании обращений собственников помещений жилого дома №3 по ул.Строителей в 2018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</si>
  <si>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№11 по ул.Строителей за 2018г.</t>
  </si>
  <si>
    <t>В ходе плановых осмотров, а также на основании обращений собственников помещений жилого дома №11 по ул.Строителей в 2018году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</si>
  <si>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 xml:space="preserve"> - вывоз ТБО до 01.07.2018г</t>
  </si>
  <si>
    <t xml:space="preserve"> - утилизация ТБО до 01.07.2018г</t>
  </si>
  <si>
    <t>В таблице №1 приведено движение денежных средств по статье текущий ремонт  по лицевому счету дома №25 по ул.Энергетиков за 2018г.</t>
  </si>
  <si>
    <t>В ходе плановых осмотров, а также на основании обращений собственников помещений жилого дома №25 по ул.Энергетиков в 2018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</si>
  <si>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№27 по ул.Энергетиков за 2018г.</t>
  </si>
  <si>
    <t xml:space="preserve">В 2018 году были произведены следующие виды работ по текущему ремонту </t>
  </si>
  <si>
    <t>В ходе плановых осмотров, а также на основании обращений собственников помещений жилого дома №27 по ул.Энергетиков в 2018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</si>
  <si>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1,14 руб/м²</t>
  </si>
  <si>
    <t>7,46 руб/м²</t>
  </si>
  <si>
    <r>
      <t>Тариф на жилищные услуги (содержание и текущий ремонт общего имущества), утвержденный постановлением Администрации г. Курчатова №594 от 30.05.2018 г.  и общим собранием собственников:</t>
    </r>
    <r>
      <rPr>
        <b/>
        <sz val="11"/>
        <rFont val="Arial"/>
        <family val="2"/>
        <charset val="204"/>
      </rPr>
      <t xml:space="preserve"> 10,81 руб/м², </t>
    </r>
  </si>
  <si>
    <t>В таблице №1 приведено движение денежных средств по статье текущий ремонт  по лицевому счету дома №29 по ул.Энергетиков за 2018г.</t>
  </si>
  <si>
    <t xml:space="preserve">В 2018году были произведены следующие виды работ по текущему ремонту </t>
  </si>
  <si>
    <t>В ходе плановых осмотров, а также на основании обращений собственников помещений жилого дома №29 по ул.Энергетиков в 2018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</si>
  <si>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2018 году были произведены следующие виды работ по текущему ремонту</t>
  </si>
  <si>
    <t>Облицовка козырьков над входом ооо Радуга</t>
  </si>
  <si>
    <t>Установа направляющих лотков в м/камерах ооо Радуга</t>
  </si>
  <si>
    <t>Установка изделий из ПВХ</t>
  </si>
  <si>
    <t>Ремонт кровли балкона ООО Ирбис</t>
  </si>
  <si>
    <t>Ремонт кровли ООО Теплострой+</t>
  </si>
  <si>
    <t>Установка парковой скамейки, мусорного клапана</t>
  </si>
  <si>
    <t>Опиловка деревьев</t>
  </si>
  <si>
    <t>Ремонт отмостки</t>
  </si>
  <si>
    <t>Устройство стяжек, установка парковой скамейки</t>
  </si>
  <si>
    <t>Установка мусорного клапана, скамейки парковой</t>
  </si>
  <si>
    <t>Замена авт.выключатель, светильники</t>
  </si>
  <si>
    <t>Замена автом.выключателя, светильника</t>
  </si>
  <si>
    <t>Принят в управление - ноябрь 2008 г.</t>
  </si>
  <si>
    <t>Количество этажей - 9</t>
  </si>
  <si>
    <t>№ п/п</t>
  </si>
  <si>
    <t>Вид</t>
  </si>
  <si>
    <t>Сумма, руб</t>
  </si>
  <si>
    <t>1</t>
  </si>
  <si>
    <t>Материалы</t>
  </si>
  <si>
    <t>2</t>
  </si>
  <si>
    <t>Услуги АДС</t>
  </si>
  <si>
    <t>Услуги ЕИРКЦ</t>
  </si>
  <si>
    <t>Заработная плата</t>
  </si>
  <si>
    <t>Прочие</t>
  </si>
  <si>
    <t>ВСЕГО:</t>
  </si>
  <si>
    <t>Фактические расходы</t>
  </si>
  <si>
    <t xml:space="preserve">по содержанию и текущему ремонту общего имущества дома - Всего: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</si>
  <si>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</si>
  <si>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Адрес</t>
  </si>
  <si>
    <t>Площадь дома, кв.м.</t>
  </si>
  <si>
    <t>Количество подъездов - 4</t>
  </si>
  <si>
    <t>Количество квартир - 144</t>
  </si>
  <si>
    <t>Количество подъездов - 3</t>
  </si>
  <si>
    <t>Количество подъездов - 6</t>
  </si>
  <si>
    <t>Количество подъездов - 1</t>
  </si>
  <si>
    <t>Количество подъездов - 5</t>
  </si>
  <si>
    <t>Нормативная численность обслуживающего персонала  - 3,6 чел</t>
  </si>
  <si>
    <t>Количество квартир - 105</t>
  </si>
  <si>
    <t>Статья</t>
  </si>
  <si>
    <t>ИТОГО:</t>
  </si>
  <si>
    <t>Всего расходов</t>
  </si>
  <si>
    <t>Ст-ть 1м2,руб</t>
  </si>
  <si>
    <t>площадь</t>
  </si>
  <si>
    <t>Начисление на зарплату</t>
  </si>
  <si>
    <t>Налоги</t>
  </si>
  <si>
    <t>Услуги по ТБО</t>
  </si>
  <si>
    <t>Аренда произв.помещений</t>
  </si>
  <si>
    <t xml:space="preserve">Дератизация,дезинфекция </t>
  </si>
  <si>
    <t>Начисления на з/пл (20,2%)</t>
  </si>
  <si>
    <t>Аренда производственных помещений под ЖЭУ</t>
  </si>
  <si>
    <t>Дератизация, дезинфекция мест общего пользования</t>
  </si>
  <si>
    <t xml:space="preserve">Работы по договорам с подрядчиками </t>
  </si>
  <si>
    <t>Техническое обслуживание и ремонт лифтов ООО "Гранит"</t>
  </si>
  <si>
    <t>ЛИФТЫ</t>
  </si>
  <si>
    <t>ОПУ</t>
  </si>
  <si>
    <t>Охрана труда</t>
  </si>
  <si>
    <t>Работы по договорам на оказание услуг по ремонту общего имущества</t>
  </si>
  <si>
    <t>Тех. освидетельствование , страхование лифтов</t>
  </si>
  <si>
    <r>
      <t>Строителей, 3</t>
    </r>
    <r>
      <rPr>
        <sz val="11"/>
        <rFont val="Times New Roman"/>
        <family val="1"/>
        <charset val="204"/>
      </rPr>
      <t xml:space="preserve"> </t>
    </r>
  </si>
  <si>
    <t xml:space="preserve">Строителей, 11 </t>
  </si>
  <si>
    <r>
      <t>Энергетиков, 25</t>
    </r>
    <r>
      <rPr>
        <sz val="11"/>
        <rFont val="Times New Roman"/>
        <family val="1"/>
        <charset val="204"/>
      </rPr>
      <t xml:space="preserve">  </t>
    </r>
    <r>
      <rPr>
        <i/>
        <sz val="8"/>
        <rFont val="Times New Roman"/>
        <family val="1"/>
        <charset val="204"/>
      </rPr>
      <t/>
    </r>
  </si>
  <si>
    <t xml:space="preserve">Энергетиков, 27  </t>
  </si>
  <si>
    <t xml:space="preserve">Энергетиков, 29 </t>
  </si>
  <si>
    <r>
      <t>Мира, 1</t>
    </r>
    <r>
      <rPr>
        <sz val="11"/>
        <rFont val="Times New Roman"/>
        <family val="1"/>
        <charset val="204"/>
      </rPr>
      <t xml:space="preserve"> </t>
    </r>
  </si>
  <si>
    <r>
      <t>Мира, 2</t>
    </r>
    <r>
      <rPr>
        <sz val="11"/>
        <rFont val="Times New Roman"/>
        <family val="1"/>
        <charset val="204"/>
      </rPr>
      <t xml:space="preserve"> </t>
    </r>
  </si>
  <si>
    <r>
      <t>Мира, 6</t>
    </r>
    <r>
      <rPr>
        <sz val="11"/>
        <rFont val="Times New Roman"/>
        <family val="1"/>
        <charset val="204"/>
      </rPr>
      <t xml:space="preserve">  </t>
    </r>
  </si>
  <si>
    <r>
      <t>Энергетиков, 31</t>
    </r>
    <r>
      <rPr>
        <sz val="11"/>
        <rFont val="Times New Roman"/>
        <family val="1"/>
        <charset val="204"/>
      </rPr>
      <t xml:space="preserve"> </t>
    </r>
  </si>
  <si>
    <t xml:space="preserve">Энергетиков, 33 </t>
  </si>
  <si>
    <t xml:space="preserve">Энергетиков, 35 </t>
  </si>
  <si>
    <t xml:space="preserve">Энергетиков, 39  </t>
  </si>
  <si>
    <t>Энергетиков, 41</t>
  </si>
  <si>
    <t xml:space="preserve">Энергетиков, 45 </t>
  </si>
  <si>
    <r>
      <t>Энергетиков, 51</t>
    </r>
    <r>
      <rPr>
        <b/>
        <sz val="8"/>
        <color indexed="8"/>
        <rFont val="Times New Roman"/>
        <family val="1"/>
        <charset val="204"/>
      </rPr>
      <t/>
    </r>
  </si>
  <si>
    <t xml:space="preserve">Энергетиков, 53 </t>
  </si>
  <si>
    <t xml:space="preserve">Мира, 5  </t>
  </si>
  <si>
    <t xml:space="preserve">Мира, 9 </t>
  </si>
  <si>
    <t>Мира, 16</t>
  </si>
  <si>
    <t xml:space="preserve">Мира, 17 </t>
  </si>
  <si>
    <t xml:space="preserve">Мира,21 </t>
  </si>
  <si>
    <r>
      <t>Садовая, 3</t>
    </r>
    <r>
      <rPr>
        <i/>
        <sz val="11"/>
        <color indexed="8"/>
        <rFont val="Times New Roman"/>
        <family val="1"/>
        <charset val="204"/>
      </rPr>
      <t xml:space="preserve">  </t>
    </r>
  </si>
  <si>
    <t xml:space="preserve">Садовая, 5  </t>
  </si>
  <si>
    <t xml:space="preserve">Садовая, 7 </t>
  </si>
  <si>
    <r>
      <t>Садовая,  7А</t>
    </r>
    <r>
      <rPr>
        <sz val="11"/>
        <rFont val="Times New Roman"/>
        <family val="1"/>
        <charset val="204"/>
      </rPr>
      <t xml:space="preserve">  </t>
    </r>
  </si>
  <si>
    <t xml:space="preserve">Садовая,  9 </t>
  </si>
  <si>
    <t>Садовая,  9А</t>
  </si>
  <si>
    <t xml:space="preserve">Садовая, 17 </t>
  </si>
  <si>
    <t xml:space="preserve">Адрес дома - Строителей 3 </t>
  </si>
  <si>
    <t>Количество квартир - 180</t>
  </si>
  <si>
    <t>Площадь подъезда - 1174 кв. м</t>
  </si>
  <si>
    <t>Площадь подвала - 1215,8 кв. м</t>
  </si>
  <si>
    <t>Площадь кровли - 1466,6 кв. м</t>
  </si>
  <si>
    <t>Площадь газона - 486 кв. м</t>
  </si>
  <si>
    <t>Управляющая организация ООО "Благоустроенный город"</t>
  </si>
  <si>
    <t xml:space="preserve">Адрес дома - Строителей 11 </t>
  </si>
  <si>
    <t>Количество квартир - 36</t>
  </si>
  <si>
    <t>Площадь подъезда - 289,6 кв. м</t>
  </si>
  <si>
    <t>Площадь подвала - 276,7 кв. м</t>
  </si>
  <si>
    <t>Площадь кровли - 369,6 кв. м</t>
  </si>
  <si>
    <t>Площадь газона - 450 кв. м</t>
  </si>
  <si>
    <t>Нормативная численность обслуживающего персонала  - 1,0 чел</t>
  </si>
  <si>
    <t xml:space="preserve">Адрес дома - Энергетиков 25 </t>
  </si>
  <si>
    <t>Площадь подъезда - 936,8 кв. м</t>
  </si>
  <si>
    <t>Площадь подвала - 972,8 кв. м</t>
  </si>
  <si>
    <t>Площадь кровли - 1173 кв. м</t>
  </si>
  <si>
    <t>Площадь газона - 434 кв. м</t>
  </si>
  <si>
    <t>Нормативная численность обслуживающего персонала  - 2,9 чел</t>
  </si>
  <si>
    <t xml:space="preserve">Адрес дома - Энергетиков 27 </t>
  </si>
  <si>
    <t>Площадь подъезда - 935,6 кв. м</t>
  </si>
  <si>
    <t>Площадь газона - 210 кв. м</t>
  </si>
  <si>
    <t>Нормативная численность обслуживающего персонала  - 2,4 чел</t>
  </si>
  <si>
    <t xml:space="preserve">Адрес дома - Энергетиков 29 </t>
  </si>
  <si>
    <t>Количество этажей - 5</t>
  </si>
  <si>
    <t>Количество квартир - 79</t>
  </si>
  <si>
    <t>Площадь подъезда - 433,9 кв. м</t>
  </si>
  <si>
    <t>Площадь подвала - 874,8 кв. м</t>
  </si>
  <si>
    <t>Площадь кровли - 897,9 кв. м</t>
  </si>
  <si>
    <t>Площадь газона - 252 кв. м</t>
  </si>
  <si>
    <t>Нормативная численность обслуживающего персонала  - 2,0 чел</t>
  </si>
  <si>
    <t xml:space="preserve">Адрес дома - Мира 21 </t>
  </si>
  <si>
    <t>Количество квартир - 216</t>
  </si>
  <si>
    <t>Площадь подъезда - 1532,4 кв. м</t>
  </si>
  <si>
    <t>Площадь подвала - 1461,4 кв. м</t>
  </si>
  <si>
    <t>Площадь кровли - 1751 кв. м</t>
  </si>
  <si>
    <t>Площадь газона - 470 кв. м</t>
  </si>
  <si>
    <t>Нормативная численность обслуживающего персонала  - 4,7 чел</t>
  </si>
  <si>
    <t>з/п дымоудаление</t>
  </si>
  <si>
    <t>начисление</t>
  </si>
  <si>
    <t>в т.ч:</t>
  </si>
  <si>
    <t xml:space="preserve"> - текущий ремонт </t>
  </si>
  <si>
    <t xml:space="preserve"> - вывоз ТБО </t>
  </si>
  <si>
    <t xml:space="preserve"> - утилизация ТБО </t>
  </si>
  <si>
    <t xml:space="preserve"> - содержание лифтов </t>
  </si>
  <si>
    <t>2,91 руб/м²</t>
  </si>
  <si>
    <t xml:space="preserve"> - содержание </t>
  </si>
  <si>
    <t>Таблица №1</t>
  </si>
  <si>
    <t>Остаток денежных средств на лицевом счете дома по статье текущий ремонт на начало периода, руб.</t>
  </si>
  <si>
    <t>Собрано по статье текущий ремонт, 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</si>
  <si>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</si>
  <si>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</si>
  <si>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>Состав работ по текущему ремонту</t>
  </si>
  <si>
    <t>Таблица №2</t>
  </si>
  <si>
    <t>Сумма,руб.</t>
  </si>
  <si>
    <t>Заделка межпанельных швов</t>
  </si>
  <si>
    <t>Таблица №3</t>
  </si>
  <si>
    <t>Промывка системы отопления и водоотведение</t>
  </si>
  <si>
    <t>Таблица №4</t>
  </si>
  <si>
    <t>Таблица №5</t>
  </si>
  <si>
    <t xml:space="preserve">ИП Шишкин </t>
  </si>
  <si>
    <t xml:space="preserve">Ростелеком </t>
  </si>
  <si>
    <t xml:space="preserve">эл. почта:blgorod@rambler.ru </t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</si>
  <si>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</si>
  <si>
    <t>Отчет ООО "Благоустроенный город"</t>
  </si>
  <si>
    <t xml:space="preserve"> об исполнении договора управления жилым домом №3 по ул.Строителей.</t>
  </si>
  <si>
    <t>ул.Строителей д.3</t>
  </si>
  <si>
    <t>по вопросам обращаться по телефону ЖЭУ 4-07-05, 4-16-22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</si>
  <si>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</si>
  <si>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t xml:space="preserve"> об исполнении договора управления жилым домом №11 по ул.Строителей.</t>
  </si>
  <si>
    <t xml:space="preserve"> об исполнении договора управления жилым домом №25 по ул.Энергетиков.</t>
  </si>
  <si>
    <t>ул.Энергетиков д.25</t>
  </si>
  <si>
    <t xml:space="preserve"> об исполнении договора управления жилым домом №27 по ул.Энергетиков.</t>
  </si>
  <si>
    <t>ул.Энергетиков д.27</t>
  </si>
  <si>
    <t xml:space="preserve"> - содержание</t>
  </si>
  <si>
    <t xml:space="preserve"> об исполнении договора управления жилым домом №21 по ул.Мира.</t>
  </si>
  <si>
    <t>ул.Мира д.21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</si>
  <si>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</si>
  <si>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</si>
  <si>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Общая площадь дома - 11880,90 кв. м</t>
  </si>
  <si>
    <t>1,55 руб/м²</t>
  </si>
  <si>
    <t>Долг населения,руб.</t>
  </si>
  <si>
    <t>Начислено по статье текущий ремонт, руб.</t>
  </si>
  <si>
    <t>Смена вентилей,внутр.трубопроводов,канализационных труб</t>
  </si>
  <si>
    <t xml:space="preserve">а также работы по программе энергосбержения (Таблица №2). </t>
  </si>
  <si>
    <t>ремонт сантехнического оборудования</t>
  </si>
  <si>
    <t>Нэт Бай Нэт Холдинг</t>
  </si>
  <si>
    <t>Вымпел-Коммуникации</t>
  </si>
  <si>
    <t>Средства за аренду</t>
  </si>
  <si>
    <t>Доходы полученные от размещения рекламы и предоставления места под аренду в многоквартирном доме №3 по ул.Строителей представлены в таблице №5</t>
  </si>
  <si>
    <t>ООО "Лифтборт"</t>
  </si>
  <si>
    <t>ООО "Империал"</t>
  </si>
  <si>
    <t>Общая площадь квартир - 2191,10 кв.м.</t>
  </si>
  <si>
    <t>Общая площадь дома - 2611,60 кв. м</t>
  </si>
  <si>
    <t>10,54руб/м²</t>
  </si>
  <si>
    <t>В таблице №1 приведено движение денежных средств по статье текущий ремонт  по лицевому счету дома №21 по ул.Мира за 2018г.</t>
  </si>
  <si>
    <t>В ходе плановых осмотров, а также на основании обращений собственников помещений жилого дома №21 по ул.Мира в 2018году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</si>
  <si>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Транспортные расходы на перевозку материалов</t>
  </si>
  <si>
    <t>Автотранспорт(ЗИЛ) 01.01.18 по 01.07.18</t>
  </si>
  <si>
    <t>Ремонт тамбура в  подъезде</t>
  </si>
  <si>
    <t xml:space="preserve">Услуги по вывозу и утилизации ТБО (с 01.01.2018г. по 30.06.2018г.) </t>
  </si>
  <si>
    <r>
      <t xml:space="preserve">Автотранспорт </t>
    </r>
    <r>
      <rPr>
        <sz val="9"/>
        <rFont val="Arial"/>
        <family val="2"/>
        <charset val="204"/>
      </rPr>
      <t>(ЗИЛ - перевозка крупногабаритных материалов от МКД) с 01.01.2018г. По 30.06.2018г.</t>
    </r>
  </si>
  <si>
    <t>5</t>
  </si>
  <si>
    <t>Дератизация,дезинфекция мест общего пользования</t>
  </si>
  <si>
    <t>Транспортные услуги по доставке материалов</t>
  </si>
  <si>
    <t>3</t>
  </si>
  <si>
    <t>4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</si>
  <si>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</si>
  <si>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</si>
  <si>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</si>
  <si>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</si>
  <si>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</si>
  <si>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</si>
  <si>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</si>
  <si>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</si>
  <si>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</si>
  <si>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</si>
  <si>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</si>
  <si>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Аренда ООО"Гранит", Цыбульник</t>
  </si>
  <si>
    <t>Итого:</t>
  </si>
</sst>
</file>

<file path=xl/styles.xml><?xml version="1.0" encoding="utf-8"?>
<styleSheet xmlns="http://schemas.openxmlformats.org/spreadsheetml/2006/main">
  <fonts count="48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Narrow"/>
      <family val="2"/>
      <charset val="204"/>
    </font>
    <font>
      <sz val="11"/>
      <name val="Arial Cyr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i/>
      <sz val="14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u/>
      <sz val="11"/>
      <color indexed="12"/>
      <name val="Arial Cyr"/>
      <charset val="204"/>
    </font>
    <font>
      <b/>
      <sz val="11"/>
      <name val="Arial Cyr"/>
      <charset val="204"/>
    </font>
    <font>
      <b/>
      <u/>
      <sz val="11"/>
      <name val="Arial Cyr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4"/>
      <color indexed="10"/>
      <name val="Times New Roman"/>
      <family val="1"/>
      <charset val="204"/>
    </font>
    <font>
      <u/>
      <sz val="11"/>
      <name val="Arial Cyr"/>
      <charset val="204"/>
    </font>
    <font>
      <sz val="14"/>
      <color rgb="FFFF0000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" fillId="0" borderId="0">
      <alignment horizontal="left"/>
    </xf>
  </cellStyleXfs>
  <cellXfs count="264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2" fillId="0" borderId="1" xfId="0" applyFont="1" applyFill="1" applyBorder="1"/>
    <xf numFmtId="0" fontId="12" fillId="0" borderId="1" xfId="0" applyFont="1" applyBorder="1" applyAlignment="1"/>
    <xf numFmtId="0" fontId="13" fillId="0" borderId="1" xfId="0" applyFont="1" applyBorder="1"/>
    <xf numFmtId="2" fontId="1" fillId="0" borderId="1" xfId="0" applyNumberFormat="1" applyFont="1" applyBorder="1" applyAlignment="1"/>
    <xf numFmtId="0" fontId="0" fillId="0" borderId="1" xfId="0" applyBorder="1" applyAlignment="1">
      <alignment horizontal="center"/>
    </xf>
    <xf numFmtId="1" fontId="1" fillId="0" borderId="1" xfId="0" applyNumberFormat="1" applyFont="1" applyBorder="1" applyAlignment="1"/>
    <xf numFmtId="0" fontId="15" fillId="2" borderId="1" xfId="0" applyFont="1" applyFill="1" applyBorder="1" applyAlignment="1">
      <alignment horizontal="justify" vertical="top" wrapText="1"/>
    </xf>
    <xf numFmtId="0" fontId="15" fillId="2" borderId="1" xfId="0" applyFont="1" applyFill="1" applyBorder="1" applyAlignment="1">
      <alignment vertical="top" wrapText="1"/>
    </xf>
    <xf numFmtId="3" fontId="21" fillId="0" borderId="0" xfId="0" applyNumberFormat="1" applyFont="1"/>
    <xf numFmtId="1" fontId="0" fillId="0" borderId="0" xfId="0" applyNumberFormat="1"/>
    <xf numFmtId="2" fontId="12" fillId="0" borderId="1" xfId="0" applyNumberFormat="1" applyFont="1" applyBorder="1" applyAlignment="1">
      <alignment wrapText="1"/>
    </xf>
    <xf numFmtId="2" fontId="14" fillId="0" borderId="1" xfId="0" applyNumberFormat="1" applyFont="1" applyBorder="1"/>
    <xf numFmtId="2" fontId="12" fillId="0" borderId="1" xfId="0" applyNumberFormat="1" applyFont="1" applyBorder="1"/>
    <xf numFmtId="2" fontId="0" fillId="0" borderId="0" xfId="0" applyNumberFormat="1"/>
    <xf numFmtId="1" fontId="12" fillId="0" borderId="1" xfId="0" applyNumberFormat="1" applyFont="1" applyBorder="1" applyAlignment="1">
      <alignment horizontal="center" wrapText="1"/>
    </xf>
    <xf numFmtId="1" fontId="15" fillId="2" borderId="1" xfId="0" applyNumberFormat="1" applyFont="1" applyFill="1" applyBorder="1" applyAlignment="1">
      <alignment horizontal="center" vertical="top" wrapText="1"/>
    </xf>
    <xf numFmtId="1" fontId="12" fillId="0" borderId="0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Border="1"/>
    <xf numFmtId="2" fontId="1" fillId="0" borderId="0" xfId="0" applyNumberFormat="1" applyFont="1" applyBorder="1" applyAlignment="1"/>
    <xf numFmtId="1" fontId="1" fillId="0" borderId="0" xfId="0" applyNumberFormat="1" applyFont="1" applyBorder="1" applyAlignment="1"/>
    <xf numFmtId="0" fontId="0" fillId="0" borderId="0" xfId="0" applyBorder="1"/>
    <xf numFmtId="0" fontId="0" fillId="0" borderId="0" xfId="0" applyFill="1" applyBorder="1"/>
    <xf numFmtId="0" fontId="1" fillId="0" borderId="0" xfId="0" applyFont="1" applyBorder="1"/>
    <xf numFmtId="0" fontId="1" fillId="0" borderId="0" xfId="0" applyFont="1" applyFill="1" applyBorder="1"/>
    <xf numFmtId="1" fontId="1" fillId="0" borderId="0" xfId="0" applyNumberFormat="1" applyFont="1" applyFill="1" applyBorder="1" applyAlignment="1"/>
    <xf numFmtId="1" fontId="12" fillId="0" borderId="0" xfId="0" applyNumberFormat="1" applyFont="1" applyBorder="1"/>
    <xf numFmtId="2" fontId="12" fillId="0" borderId="0" xfId="0" applyNumberFormat="1" applyFont="1" applyBorder="1" applyAlignment="1"/>
    <xf numFmtId="0" fontId="12" fillId="0" borderId="0" xfId="0" applyFont="1" applyBorder="1" applyAlignment="1"/>
    <xf numFmtId="0" fontId="12" fillId="0" borderId="0" xfId="0" applyFont="1" applyBorder="1" applyAlignment="1">
      <alignment wrapText="1"/>
    </xf>
    <xf numFmtId="0" fontId="13" fillId="0" borderId="0" xfId="0" applyFont="1" applyBorder="1"/>
    <xf numFmtId="0" fontId="13" fillId="0" borderId="0" xfId="0" applyFont="1" applyFill="1" applyBorder="1"/>
    <xf numFmtId="0" fontId="12" fillId="0" borderId="0" xfId="0" applyFont="1" applyBorder="1"/>
    <xf numFmtId="0" fontId="27" fillId="0" borderId="0" xfId="0" applyFont="1"/>
    <xf numFmtId="1" fontId="27" fillId="0" borderId="0" xfId="0" applyNumberFormat="1" applyFont="1" applyAlignment="1">
      <alignment horizontal="center"/>
    </xf>
    <xf numFmtId="1" fontId="27" fillId="0" borderId="0" xfId="0" applyNumberFormat="1" applyFont="1"/>
    <xf numFmtId="0" fontId="27" fillId="0" borderId="1" xfId="0" applyFont="1" applyBorder="1"/>
    <xf numFmtId="0" fontId="28" fillId="0" borderId="1" xfId="0" applyFont="1" applyBorder="1"/>
    <xf numFmtId="0" fontId="28" fillId="0" borderId="1" xfId="0" applyFont="1" applyBorder="1" applyAlignment="1">
      <alignment wrapText="1"/>
    </xf>
    <xf numFmtId="0" fontId="28" fillId="0" borderId="1" xfId="0" applyFont="1" applyBorder="1" applyAlignment="1"/>
    <xf numFmtId="0" fontId="27" fillId="0" borderId="1" xfId="0" applyFont="1" applyBorder="1" applyAlignment="1">
      <alignment horizontal="center"/>
    </xf>
    <xf numFmtId="1" fontId="27" fillId="0" borderId="1" xfId="0" applyNumberFormat="1" applyFont="1" applyBorder="1"/>
    <xf numFmtId="2" fontId="27" fillId="0" borderId="1" xfId="0" applyNumberFormat="1" applyFont="1" applyBorder="1" applyAlignment="1"/>
    <xf numFmtId="1" fontId="27" fillId="0" borderId="1" xfId="0" applyNumberFormat="1" applyFont="1" applyBorder="1" applyAlignment="1"/>
    <xf numFmtId="1" fontId="28" fillId="0" borderId="1" xfId="0" applyNumberFormat="1" applyFont="1" applyBorder="1"/>
    <xf numFmtId="2" fontId="28" fillId="0" borderId="1" xfId="0" applyNumberFormat="1" applyFont="1" applyBorder="1" applyAlignment="1"/>
    <xf numFmtId="0" fontId="7" fillId="0" borderId="0" xfId="3" applyFont="1" applyAlignment="1"/>
    <xf numFmtId="0" fontId="27" fillId="0" borderId="0" xfId="0" applyFont="1" applyAlignment="1">
      <alignment horizontal="center"/>
    </xf>
    <xf numFmtId="2" fontId="0" fillId="0" borderId="1" xfId="0" applyNumberFormat="1" applyBorder="1"/>
    <xf numFmtId="1" fontId="0" fillId="0" borderId="0" xfId="0" applyNumberFormat="1" applyBorder="1" applyAlignment="1">
      <alignment horizontal="center"/>
    </xf>
    <xf numFmtId="0" fontId="44" fillId="0" borderId="1" xfId="0" applyFont="1" applyBorder="1"/>
    <xf numFmtId="0" fontId="44" fillId="0" borderId="1" xfId="0" applyFont="1" applyFill="1" applyBorder="1"/>
    <xf numFmtId="2" fontId="27" fillId="0" borderId="1" xfId="0" applyNumberFormat="1" applyFont="1" applyBorder="1"/>
    <xf numFmtId="1" fontId="46" fillId="0" borderId="1" xfId="0" applyNumberFormat="1" applyFont="1" applyBorder="1"/>
    <xf numFmtId="1" fontId="46" fillId="0" borderId="1" xfId="0" applyNumberFormat="1" applyFont="1" applyFill="1" applyBorder="1"/>
    <xf numFmtId="1" fontId="46" fillId="0" borderId="2" xfId="0" applyNumberFormat="1" applyFont="1" applyFill="1" applyBorder="1"/>
    <xf numFmtId="0" fontId="47" fillId="3" borderId="3" xfId="3" applyFont="1" applyFill="1" applyBorder="1" applyAlignment="1"/>
    <xf numFmtId="0" fontId="29" fillId="3" borderId="0" xfId="3" applyFont="1" applyFill="1" applyAlignment="1">
      <alignment vertical="center"/>
    </xf>
    <xf numFmtId="0" fontId="29" fillId="3" borderId="0" xfId="3" applyFont="1" applyFill="1" applyAlignment="1"/>
    <xf numFmtId="0" fontId="30" fillId="3" borderId="0" xfId="3" applyFont="1" applyFill="1" applyAlignment="1">
      <alignment wrapText="1"/>
    </xf>
    <xf numFmtId="0" fontId="31" fillId="3" borderId="0" xfId="3" applyFont="1" applyFill="1" applyAlignment="1"/>
    <xf numFmtId="0" fontId="31" fillId="3" borderId="0" xfId="3" applyFont="1" applyFill="1" applyAlignment="1">
      <alignment wrapText="1"/>
    </xf>
    <xf numFmtId="0" fontId="14" fillId="3" borderId="0" xfId="0" applyFont="1" applyFill="1"/>
    <xf numFmtId="0" fontId="31" fillId="3" borderId="0" xfId="3" applyFont="1" applyFill="1" applyAlignment="1">
      <alignment horizontal="left" wrapText="1"/>
    </xf>
    <xf numFmtId="0" fontId="27" fillId="3" borderId="0" xfId="3" applyFont="1" applyFill="1" applyAlignment="1"/>
    <xf numFmtId="0" fontId="32" fillId="3" borderId="0" xfId="3" applyFont="1" applyFill="1" applyAlignment="1"/>
    <xf numFmtId="0" fontId="27" fillId="3" borderId="0" xfId="3" applyFont="1" applyFill="1">
      <alignment horizontal="left"/>
    </xf>
    <xf numFmtId="0" fontId="21" fillId="3" borderId="0" xfId="0" applyFont="1" applyFill="1"/>
    <xf numFmtId="0" fontId="4" fillId="3" borderId="0" xfId="3" applyFont="1" applyFill="1">
      <alignment horizontal="left"/>
    </xf>
    <xf numFmtId="0" fontId="4" fillId="3" borderId="0" xfId="3" applyFont="1" applyFill="1" applyAlignment="1"/>
    <xf numFmtId="0" fontId="33" fillId="3" borderId="0" xfId="3" applyFont="1" applyFill="1">
      <alignment horizontal="left"/>
    </xf>
    <xf numFmtId="0" fontId="5" fillId="3" borderId="0" xfId="3" applyFont="1" applyFill="1">
      <alignment horizontal="left"/>
    </xf>
    <xf numFmtId="0" fontId="34" fillId="3" borderId="0" xfId="0" applyFont="1" applyFill="1"/>
    <xf numFmtId="0" fontId="20" fillId="3" borderId="0" xfId="0" applyFont="1" applyFill="1" applyBorder="1" applyAlignment="1">
      <alignment vertical="center" wrapText="1"/>
    </xf>
    <xf numFmtId="2" fontId="14" fillId="3" borderId="0" xfId="0" applyNumberFormat="1" applyFont="1" applyFill="1" applyBorder="1" applyAlignment="1"/>
    <xf numFmtId="2" fontId="14" fillId="3" borderId="0" xfId="0" applyNumberFormat="1" applyFont="1" applyFill="1" applyBorder="1" applyAlignment="1">
      <alignment horizontal="center"/>
    </xf>
    <xf numFmtId="2" fontId="14" fillId="3" borderId="0" xfId="0" applyNumberFormat="1" applyFont="1" applyFill="1" applyAlignment="1">
      <alignment horizontal="center"/>
    </xf>
    <xf numFmtId="0" fontId="33" fillId="3" borderId="0" xfId="3" applyFont="1" applyFill="1" applyBorder="1" applyAlignment="1"/>
    <xf numFmtId="0" fontId="14" fillId="3" borderId="0" xfId="0" applyFont="1" applyFill="1" applyBorder="1"/>
    <xf numFmtId="0" fontId="31" fillId="3" borderId="0" xfId="3" applyFont="1" applyFill="1">
      <alignment horizontal="left"/>
    </xf>
    <xf numFmtId="0" fontId="33" fillId="3" borderId="0" xfId="3" applyFont="1" applyFill="1" applyAlignment="1">
      <alignment horizontal="left"/>
    </xf>
    <xf numFmtId="0" fontId="4" fillId="3" borderId="0" xfId="3" applyFont="1" applyFill="1" applyBorder="1" applyAlignment="1"/>
    <xf numFmtId="0" fontId="6" fillId="3" borderId="0" xfId="3" applyFont="1" applyFill="1" applyBorder="1">
      <alignment horizontal="left"/>
    </xf>
    <xf numFmtId="0" fontId="5" fillId="3" borderId="0" xfId="3" applyFont="1" applyFill="1" applyBorder="1">
      <alignment horizontal="left"/>
    </xf>
    <xf numFmtId="0" fontId="4" fillId="3" borderId="1" xfId="3" applyFont="1" applyFill="1" applyBorder="1" applyAlignment="1">
      <alignment horizontal="center" vertical="center"/>
    </xf>
    <xf numFmtId="0" fontId="7" fillId="3" borderId="0" xfId="3" applyFont="1" applyFill="1" applyAlignment="1"/>
    <xf numFmtId="0" fontId="31" fillId="3" borderId="4" xfId="3" applyFont="1" applyFill="1" applyBorder="1" applyAlignment="1"/>
    <xf numFmtId="0" fontId="22" fillId="3" borderId="3" xfId="3" applyFont="1" applyFill="1" applyBorder="1" applyAlignment="1"/>
    <xf numFmtId="0" fontId="22" fillId="3" borderId="4" xfId="3" applyFont="1" applyFill="1" applyBorder="1" applyAlignment="1"/>
    <xf numFmtId="1" fontId="22" fillId="3" borderId="1" xfId="3" applyNumberFormat="1" applyFont="1" applyFill="1" applyBorder="1" applyAlignment="1">
      <alignment horizontal="right"/>
    </xf>
    <xf numFmtId="0" fontId="3" fillId="3" borderId="0" xfId="3" applyFont="1" applyFill="1">
      <alignment horizontal="left"/>
    </xf>
    <xf numFmtId="0" fontId="3" fillId="3" borderId="0" xfId="3" applyFont="1" applyFill="1" applyAlignment="1"/>
    <xf numFmtId="0" fontId="4" fillId="3" borderId="0" xfId="3" applyFont="1" applyFill="1" applyAlignment="1">
      <alignment wrapText="1"/>
    </xf>
    <xf numFmtId="0" fontId="33" fillId="3" borderId="0" xfId="3" applyFont="1" applyFill="1" applyAlignment="1">
      <alignment horizontal="center"/>
    </xf>
    <xf numFmtId="0" fontId="5" fillId="3" borderId="0" xfId="3" applyFont="1" applyFill="1" applyAlignment="1">
      <alignment horizontal="left"/>
    </xf>
    <xf numFmtId="0" fontId="31" fillId="3" borderId="4" xfId="3" applyFont="1" applyFill="1" applyBorder="1" applyAlignment="1">
      <alignment horizontal="left"/>
    </xf>
    <xf numFmtId="0" fontId="31" fillId="3" borderId="5" xfId="3" applyFont="1" applyFill="1" applyBorder="1" applyAlignment="1">
      <alignment horizontal="left"/>
    </xf>
    <xf numFmtId="1" fontId="31" fillId="3" borderId="1" xfId="3" applyNumberFormat="1" applyFont="1" applyFill="1" applyBorder="1" applyAlignment="1">
      <alignment horizontal="right"/>
    </xf>
    <xf numFmtId="0" fontId="22" fillId="3" borderId="0" xfId="3" applyFont="1" applyFill="1" applyBorder="1" applyAlignment="1">
      <alignment horizontal="center" vertical="center" wrapText="1"/>
    </xf>
    <xf numFmtId="0" fontId="31" fillId="3" borderId="0" xfId="3" applyFont="1" applyFill="1" applyBorder="1" applyAlignment="1">
      <alignment horizontal="left"/>
    </xf>
    <xf numFmtId="1" fontId="31" fillId="3" borderId="0" xfId="3" applyNumberFormat="1" applyFont="1" applyFill="1" applyBorder="1" applyAlignment="1"/>
    <xf numFmtId="0" fontId="8" fillId="3" borderId="0" xfId="3" applyFont="1" applyFill="1" applyAlignment="1">
      <alignment wrapText="1"/>
    </xf>
    <xf numFmtId="0" fontId="4" fillId="3" borderId="0" xfId="3" applyFont="1" applyFill="1" applyAlignment="1">
      <alignment horizontal="center"/>
    </xf>
    <xf numFmtId="1" fontId="4" fillId="3" borderId="1" xfId="3" applyNumberFormat="1" applyFont="1" applyFill="1" applyBorder="1" applyAlignment="1">
      <alignment horizontal="center"/>
    </xf>
    <xf numFmtId="1" fontId="4" fillId="3" borderId="0" xfId="3" applyNumberFormat="1" applyFont="1" applyFill="1" applyBorder="1" applyAlignment="1"/>
    <xf numFmtId="0" fontId="31" fillId="3" borderId="1" xfId="3" applyFont="1" applyFill="1" applyBorder="1" applyAlignment="1">
      <alignment horizontal="center"/>
    </xf>
    <xf numFmtId="1" fontId="31" fillId="3" borderId="1" xfId="3" applyNumberFormat="1" applyFont="1" applyFill="1" applyBorder="1" applyAlignment="1">
      <alignment horizontal="center"/>
    </xf>
    <xf numFmtId="0" fontId="33" fillId="3" borderId="0" xfId="3" applyFont="1" applyFill="1" applyBorder="1">
      <alignment horizontal="left"/>
    </xf>
    <xf numFmtId="0" fontId="31" fillId="3" borderId="6" xfId="3" applyFont="1" applyFill="1" applyBorder="1" applyAlignment="1">
      <alignment horizontal="center"/>
    </xf>
    <xf numFmtId="0" fontId="31" fillId="3" borderId="3" xfId="3" applyFont="1" applyFill="1" applyBorder="1" applyAlignment="1"/>
    <xf numFmtId="1" fontId="22" fillId="3" borderId="1" xfId="3" applyNumberFormat="1" applyFont="1" applyFill="1" applyBorder="1" applyAlignment="1"/>
    <xf numFmtId="1" fontId="31" fillId="3" borderId="1" xfId="3" applyNumberFormat="1" applyFont="1" applyFill="1" applyBorder="1" applyAlignment="1"/>
    <xf numFmtId="1" fontId="9" fillId="3" borderId="0" xfId="3" applyNumberFormat="1" applyFont="1" applyFill="1" applyBorder="1" applyAlignment="1"/>
    <xf numFmtId="0" fontId="7" fillId="3" borderId="0" xfId="3" applyFont="1" applyFill="1">
      <alignment horizontal="left"/>
    </xf>
    <xf numFmtId="0" fontId="9" fillId="3" borderId="0" xfId="3" applyFont="1" applyFill="1">
      <alignment horizontal="left"/>
    </xf>
    <xf numFmtId="0" fontId="6" fillId="3" borderId="0" xfId="3" applyFont="1" applyFill="1">
      <alignment horizontal="left"/>
    </xf>
    <xf numFmtId="0" fontId="31" fillId="3" borderId="0" xfId="3" applyFont="1" applyFill="1" applyBorder="1" applyAlignment="1">
      <alignment wrapText="1"/>
    </xf>
    <xf numFmtId="0" fontId="9" fillId="3" borderId="0" xfId="3" applyFont="1" applyFill="1" applyBorder="1">
      <alignment horizontal="left"/>
    </xf>
    <xf numFmtId="0" fontId="9" fillId="3" borderId="0" xfId="3" applyFont="1" applyFill="1" applyBorder="1" applyAlignment="1"/>
    <xf numFmtId="0" fontId="5" fillId="3" borderId="0" xfId="3" applyFont="1" applyFill="1" applyBorder="1" applyAlignment="1"/>
    <xf numFmtId="0" fontId="31" fillId="3" borderId="1" xfId="0" applyFont="1" applyFill="1" applyBorder="1" applyAlignment="1">
      <alignment horizontal="center" vertical="center" wrapText="1"/>
    </xf>
    <xf numFmtId="0" fontId="31" fillId="3" borderId="3" xfId="3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wrapText="1"/>
    </xf>
    <xf numFmtId="0" fontId="31" fillId="3" borderId="0" xfId="3" applyFont="1" applyFill="1" applyBorder="1" applyAlignment="1"/>
    <xf numFmtId="2" fontId="21" fillId="3" borderId="0" xfId="0" applyNumberFormat="1" applyFont="1" applyFill="1" applyBorder="1" applyAlignment="1">
      <alignment horizontal="center" vertical="center" wrapText="1"/>
    </xf>
    <xf numFmtId="2" fontId="33" fillId="3" borderId="0" xfId="3" applyNumberFormat="1" applyFont="1" applyFill="1" applyBorder="1" applyAlignment="1">
      <alignment horizontal="center"/>
    </xf>
    <xf numFmtId="2" fontId="21" fillId="3" borderId="0" xfId="0" applyNumberFormat="1" applyFont="1" applyFill="1" applyBorder="1" applyAlignment="1">
      <alignment vertical="center" wrapText="1"/>
    </xf>
    <xf numFmtId="0" fontId="22" fillId="3" borderId="0" xfId="3" applyFont="1" applyFill="1" applyAlignment="1">
      <alignment wrapText="1"/>
    </xf>
    <xf numFmtId="0" fontId="10" fillId="3" borderId="0" xfId="3" applyFont="1" applyFill="1" applyAlignment="1">
      <alignment horizontal="center" wrapText="1"/>
    </xf>
    <xf numFmtId="0" fontId="22" fillId="3" borderId="0" xfId="3" applyFont="1" applyFill="1" applyAlignment="1"/>
    <xf numFmtId="0" fontId="10" fillId="3" borderId="0" xfId="3" applyFont="1" applyFill="1" applyAlignment="1"/>
    <xf numFmtId="0" fontId="36" fillId="3" borderId="0" xfId="0" applyFont="1" applyFill="1" applyAlignment="1"/>
    <xf numFmtId="0" fontId="25" fillId="3" borderId="0" xfId="0" applyFont="1" applyFill="1" applyAlignment="1"/>
    <xf numFmtId="0" fontId="37" fillId="3" borderId="0" xfId="0" applyFont="1" applyFill="1" applyAlignment="1"/>
    <xf numFmtId="0" fontId="26" fillId="3" borderId="0" xfId="0" applyFont="1" applyFill="1" applyAlignment="1"/>
    <xf numFmtId="0" fontId="20" fillId="3" borderId="0" xfId="0" applyFont="1" applyFill="1"/>
    <xf numFmtId="2" fontId="31" fillId="3" borderId="3" xfId="3" applyNumberFormat="1" applyFont="1" applyFill="1" applyBorder="1" applyAlignment="1">
      <alignment horizontal="center"/>
    </xf>
    <xf numFmtId="2" fontId="31" fillId="3" borderId="1" xfId="3" applyNumberFormat="1" applyFont="1" applyFill="1" applyBorder="1" applyAlignment="1">
      <alignment horizontal="center"/>
    </xf>
    <xf numFmtId="2" fontId="14" fillId="3" borderId="3" xfId="0" applyNumberFormat="1" applyFont="1" applyFill="1" applyBorder="1" applyAlignment="1">
      <alignment horizontal="center"/>
    </xf>
    <xf numFmtId="2" fontId="14" fillId="3" borderId="1" xfId="0" applyNumberFormat="1" applyFont="1" applyFill="1" applyBorder="1" applyAlignment="1">
      <alignment horizontal="center"/>
    </xf>
    <xf numFmtId="0" fontId="20" fillId="3" borderId="0" xfId="0" applyFont="1" applyFill="1" applyBorder="1"/>
    <xf numFmtId="0" fontId="2" fillId="3" borderId="0" xfId="3" applyFont="1" applyFill="1" applyBorder="1">
      <alignment horizontal="left"/>
    </xf>
    <xf numFmtId="2" fontId="20" fillId="3" borderId="0" xfId="0" applyNumberFormat="1" applyFont="1" applyFill="1" applyBorder="1"/>
    <xf numFmtId="2" fontId="14" fillId="3" borderId="1" xfId="0" applyNumberFormat="1" applyFont="1" applyFill="1" applyBorder="1" applyAlignment="1">
      <alignment horizontal="center" vertical="center" wrapText="1"/>
    </xf>
    <xf numFmtId="2" fontId="45" fillId="3" borderId="0" xfId="1" applyNumberFormat="1" applyFont="1" applyFill="1" applyAlignment="1" applyProtection="1"/>
    <xf numFmtId="1" fontId="20" fillId="3" borderId="0" xfId="0" applyNumberFormat="1" applyFont="1" applyFill="1" applyBorder="1"/>
    <xf numFmtId="0" fontId="22" fillId="3" borderId="1" xfId="3" applyFont="1" applyFill="1" applyBorder="1" applyAlignment="1">
      <alignment horizontal="right"/>
    </xf>
    <xf numFmtId="0" fontId="31" fillId="3" borderId="1" xfId="3" applyFont="1" applyFill="1" applyBorder="1" applyAlignment="1">
      <alignment horizontal="right"/>
    </xf>
    <xf numFmtId="0" fontId="31" fillId="3" borderId="5" xfId="3" applyFont="1" applyFill="1" applyBorder="1" applyAlignment="1"/>
    <xf numFmtId="0" fontId="31" fillId="3" borderId="3" xfId="3" applyFont="1" applyFill="1" applyBorder="1" applyAlignment="1">
      <alignment horizontal="left"/>
    </xf>
    <xf numFmtId="0" fontId="31" fillId="3" borderId="3" xfId="3" applyFont="1" applyFill="1" applyBorder="1" applyAlignment="1">
      <alignment horizontal="left" vertical="center"/>
    </xf>
    <xf numFmtId="0" fontId="31" fillId="3" borderId="4" xfId="3" applyFont="1" applyFill="1" applyBorder="1" applyAlignment="1">
      <alignment horizontal="left" vertical="center"/>
    </xf>
    <xf numFmtId="0" fontId="20" fillId="3" borderId="0" xfId="0" applyFont="1" applyFill="1" applyBorder="1" applyAlignment="1">
      <alignment horizontal="center" vertical="center" wrapText="1"/>
    </xf>
    <xf numFmtId="0" fontId="31" fillId="3" borderId="4" xfId="3" applyFont="1" applyFill="1" applyBorder="1">
      <alignment horizontal="left"/>
    </xf>
    <xf numFmtId="1" fontId="14" fillId="3" borderId="1" xfId="0" applyNumberFormat="1" applyFont="1" applyFill="1" applyBorder="1"/>
    <xf numFmtId="0" fontId="31" fillId="3" borderId="0" xfId="3" applyFont="1" applyFill="1" applyBorder="1">
      <alignment horizontal="left"/>
    </xf>
    <xf numFmtId="0" fontId="3" fillId="3" borderId="0" xfId="3" applyFont="1" applyFill="1" applyBorder="1" applyAlignment="1">
      <alignment horizontal="center"/>
    </xf>
    <xf numFmtId="0" fontId="7" fillId="3" borderId="0" xfId="3" applyFont="1" applyFill="1" applyAlignment="1">
      <alignment horizontal="left"/>
    </xf>
    <xf numFmtId="0" fontId="4" fillId="3" borderId="7" xfId="3" applyFont="1" applyFill="1" applyBorder="1" applyAlignment="1">
      <alignment horizontal="center" vertical="center"/>
    </xf>
    <xf numFmtId="0" fontId="33" fillId="3" borderId="4" xfId="3" applyFont="1" applyFill="1" applyBorder="1" applyAlignment="1">
      <alignment horizontal="left" vertical="center"/>
    </xf>
    <xf numFmtId="0" fontId="20" fillId="3" borderId="1" xfId="0" applyFont="1" applyFill="1" applyBorder="1" applyAlignment="1">
      <alignment horizontal="right"/>
    </xf>
    <xf numFmtId="0" fontId="31" fillId="3" borderId="0" xfId="3" applyFont="1" applyFill="1" applyBorder="1" applyAlignment="1">
      <alignment horizontal="center"/>
    </xf>
    <xf numFmtId="0" fontId="4" fillId="3" borderId="0" xfId="3" applyFont="1" applyFill="1" applyBorder="1">
      <alignment horizontal="left"/>
    </xf>
    <xf numFmtId="0" fontId="22" fillId="3" borderId="0" xfId="3" applyFont="1" applyFill="1" applyAlignment="1">
      <alignment horizontal="center" wrapText="1"/>
    </xf>
    <xf numFmtId="1" fontId="33" fillId="3" borderId="8" xfId="3" applyNumberFormat="1" applyFont="1" applyFill="1" applyBorder="1" applyAlignment="1">
      <alignment horizontal="right"/>
    </xf>
    <xf numFmtId="0" fontId="4" fillId="3" borderId="4" xfId="3" applyFont="1" applyFill="1" applyBorder="1" applyAlignment="1">
      <alignment horizontal="center" vertical="center"/>
    </xf>
    <xf numFmtId="0" fontId="31" fillId="3" borderId="3" xfId="3" applyFont="1" applyFill="1" applyBorder="1" applyAlignment="1">
      <alignment horizontal="center"/>
    </xf>
    <xf numFmtId="0" fontId="31" fillId="3" borderId="4" xfId="3" applyFont="1" applyFill="1" applyBorder="1" applyAlignment="1">
      <alignment horizontal="center"/>
    </xf>
    <xf numFmtId="0" fontId="22" fillId="3" borderId="4" xfId="3" applyFont="1" applyFill="1" applyBorder="1" applyAlignment="1">
      <alignment horizontal="center"/>
    </xf>
    <xf numFmtId="1" fontId="20" fillId="3" borderId="0" xfId="0" applyNumberFormat="1" applyFont="1" applyFill="1"/>
    <xf numFmtId="2" fontId="20" fillId="3" borderId="0" xfId="0" applyNumberFormat="1" applyFont="1" applyFill="1" applyAlignment="1">
      <alignment horizontal="center"/>
    </xf>
    <xf numFmtId="1" fontId="5" fillId="3" borderId="1" xfId="3" applyNumberFormat="1" applyFont="1" applyFill="1" applyBorder="1" applyAlignment="1">
      <alignment horizontal="right"/>
    </xf>
    <xf numFmtId="1" fontId="31" fillId="3" borderId="1" xfId="3" applyNumberFormat="1" applyFont="1" applyFill="1" applyBorder="1" applyAlignment="1">
      <alignment horizontal="right" wrapText="1"/>
    </xf>
    <xf numFmtId="0" fontId="22" fillId="3" borderId="1" xfId="0" applyFont="1" applyFill="1" applyBorder="1" applyAlignment="1">
      <alignment horizontal="center"/>
    </xf>
    <xf numFmtId="2" fontId="22" fillId="3" borderId="1" xfId="3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wrapText="1"/>
    </xf>
    <xf numFmtId="0" fontId="7" fillId="0" borderId="0" xfId="3" applyFont="1">
      <alignment horizontal="left"/>
    </xf>
    <xf numFmtId="0" fontId="36" fillId="3" borderId="0" xfId="0" applyFont="1" applyFill="1" applyAlignment="1">
      <alignment horizontal="center"/>
    </xf>
    <xf numFmtId="0" fontId="37" fillId="3" borderId="0" xfId="0" applyFont="1" applyFill="1" applyAlignment="1">
      <alignment horizontal="center"/>
    </xf>
    <xf numFmtId="0" fontId="4" fillId="3" borderId="0" xfId="3" applyFont="1" applyFill="1" applyBorder="1" applyAlignment="1">
      <alignment horizontal="center"/>
    </xf>
    <xf numFmtId="0" fontId="31" fillId="3" borderId="0" xfId="3" applyFont="1" applyFill="1" applyAlignment="1">
      <alignment horizontal="left" wrapText="1"/>
    </xf>
    <xf numFmtId="0" fontId="4" fillId="3" borderId="0" xfId="3" applyFont="1" applyFill="1" applyAlignment="1">
      <alignment horizontal="center" wrapText="1"/>
    </xf>
    <xf numFmtId="0" fontId="8" fillId="3" borderId="0" xfId="3" applyFont="1" applyFill="1" applyAlignment="1">
      <alignment horizontal="left" wrapText="1"/>
    </xf>
    <xf numFmtId="0" fontId="4" fillId="3" borderId="0" xfId="3" applyFont="1" applyFill="1" applyAlignment="1">
      <alignment horizontal="center"/>
    </xf>
    <xf numFmtId="0" fontId="31" fillId="3" borderId="0" xfId="3" applyFont="1" applyFill="1" applyBorder="1" applyAlignment="1">
      <alignment horizontal="left" wrapText="1"/>
    </xf>
    <xf numFmtId="0" fontId="22" fillId="3" borderId="3" xfId="3" applyFont="1" applyFill="1" applyBorder="1" applyAlignment="1">
      <alignment horizontal="center" vertical="center"/>
    </xf>
    <xf numFmtId="0" fontId="22" fillId="3" borderId="4" xfId="3" applyFont="1" applyFill="1" applyBorder="1" applyAlignment="1">
      <alignment horizontal="center" vertical="center"/>
    </xf>
    <xf numFmtId="0" fontId="22" fillId="3" borderId="5" xfId="3" applyFont="1" applyFill="1" applyBorder="1" applyAlignment="1">
      <alignment horizontal="center" vertical="center"/>
    </xf>
    <xf numFmtId="2" fontId="45" fillId="3" borderId="0" xfId="1" applyNumberFormat="1" applyFont="1" applyFill="1" applyAlignment="1" applyProtection="1">
      <alignment horizontal="center"/>
    </xf>
    <xf numFmtId="0" fontId="29" fillId="3" borderId="0" xfId="3" applyFont="1" applyFill="1" applyAlignment="1">
      <alignment horizontal="center"/>
    </xf>
    <xf numFmtId="0" fontId="20" fillId="3" borderId="1" xfId="0" applyFont="1" applyFill="1" applyBorder="1" applyAlignment="1">
      <alignment horizontal="center" vertical="center" wrapText="1"/>
    </xf>
    <xf numFmtId="0" fontId="31" fillId="3" borderId="0" xfId="3" applyFont="1" applyFill="1" applyAlignment="1">
      <alignment horizontal="justify" wrapText="1"/>
    </xf>
    <xf numFmtId="0" fontId="31" fillId="3" borderId="3" xfId="3" applyFont="1" applyFill="1" applyBorder="1" applyAlignment="1">
      <alignment horizontal="left" wrapText="1"/>
    </xf>
    <xf numFmtId="0" fontId="31" fillId="3" borderId="4" xfId="3" applyFont="1" applyFill="1" applyBorder="1" applyAlignment="1">
      <alignment horizontal="left" wrapText="1"/>
    </xf>
    <xf numFmtId="0" fontId="31" fillId="3" borderId="5" xfId="3" applyFont="1" applyFill="1" applyBorder="1" applyAlignment="1">
      <alignment horizontal="left" wrapText="1"/>
    </xf>
    <xf numFmtId="0" fontId="31" fillId="3" borderId="3" xfId="3" applyFont="1" applyFill="1" applyBorder="1" applyAlignment="1">
      <alignment horizontal="left" vertical="center"/>
    </xf>
    <xf numFmtId="0" fontId="31" fillId="3" borderId="4" xfId="3" applyFont="1" applyFill="1" applyBorder="1" applyAlignment="1">
      <alignment horizontal="left" vertical="center"/>
    </xf>
    <xf numFmtId="0" fontId="31" fillId="3" borderId="5" xfId="3" applyFont="1" applyFill="1" applyBorder="1" applyAlignment="1">
      <alignment horizontal="left" vertical="center"/>
    </xf>
    <xf numFmtId="0" fontId="5" fillId="3" borderId="12" xfId="3" applyFont="1" applyFill="1" applyBorder="1" applyAlignment="1">
      <alignment horizontal="center" vertical="center" wrapText="1"/>
    </xf>
    <xf numFmtId="0" fontId="5" fillId="3" borderId="9" xfId="3" applyFont="1" applyFill="1" applyBorder="1" applyAlignment="1">
      <alignment horizontal="center" vertical="center" wrapText="1"/>
    </xf>
    <xf numFmtId="0" fontId="5" fillId="3" borderId="13" xfId="3" applyFont="1" applyFill="1" applyBorder="1" applyAlignment="1">
      <alignment horizontal="center" vertical="center" wrapText="1"/>
    </xf>
    <xf numFmtId="0" fontId="5" fillId="3" borderId="10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5" fillId="3" borderId="11" xfId="3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 wrapText="1"/>
    </xf>
    <xf numFmtId="0" fontId="7" fillId="3" borderId="0" xfId="3" applyFont="1" applyFill="1">
      <alignment horizontal="left"/>
    </xf>
    <xf numFmtId="0" fontId="9" fillId="3" borderId="3" xfId="3" applyNumberFormat="1" applyFont="1" applyFill="1" applyBorder="1" applyAlignment="1">
      <alignment horizontal="left" wrapText="1"/>
    </xf>
    <xf numFmtId="0" fontId="9" fillId="3" borderId="4" xfId="3" applyNumberFormat="1" applyFont="1" applyFill="1" applyBorder="1" applyAlignment="1">
      <alignment horizontal="left" wrapText="1"/>
    </xf>
    <xf numFmtId="0" fontId="6" fillId="3" borderId="0" xfId="3" applyFont="1" applyFill="1" applyBorder="1" applyAlignment="1">
      <alignment horizontal="left"/>
    </xf>
    <xf numFmtId="0" fontId="4" fillId="3" borderId="12" xfId="3" applyFont="1" applyFill="1" applyBorder="1" applyAlignment="1">
      <alignment horizontal="center" vertical="center"/>
    </xf>
    <xf numFmtId="0" fontId="4" fillId="3" borderId="9" xfId="3" applyFont="1" applyFill="1" applyBorder="1" applyAlignment="1">
      <alignment horizontal="center" vertical="center"/>
    </xf>
    <xf numFmtId="0" fontId="4" fillId="3" borderId="3" xfId="3" applyFont="1" applyFill="1" applyBorder="1" applyAlignment="1">
      <alignment horizontal="center" vertical="center"/>
    </xf>
    <xf numFmtId="0" fontId="4" fillId="3" borderId="4" xfId="3" applyFont="1" applyFill="1" applyBorder="1" applyAlignment="1">
      <alignment horizontal="center" vertical="center"/>
    </xf>
    <xf numFmtId="0" fontId="4" fillId="3" borderId="5" xfId="3" applyFont="1" applyFill="1" applyBorder="1" applyAlignment="1">
      <alignment horizontal="center" vertical="center"/>
    </xf>
    <xf numFmtId="0" fontId="31" fillId="3" borderId="4" xfId="3" applyFont="1" applyFill="1" applyBorder="1" applyAlignment="1">
      <alignment horizontal="left"/>
    </xf>
    <xf numFmtId="0" fontId="31" fillId="3" borderId="5" xfId="3" applyFont="1" applyFill="1" applyBorder="1" applyAlignment="1">
      <alignment horizontal="left"/>
    </xf>
    <xf numFmtId="0" fontId="5" fillId="3" borderId="1" xfId="3" applyFont="1" applyFill="1" applyBorder="1" applyAlignment="1">
      <alignment horizontal="center" vertical="center" wrapText="1"/>
    </xf>
    <xf numFmtId="0" fontId="33" fillId="3" borderId="0" xfId="3" applyFont="1" applyFill="1">
      <alignment horizontal="left"/>
    </xf>
    <xf numFmtId="0" fontId="3" fillId="3" borderId="12" xfId="3" applyFont="1" applyFill="1" applyBorder="1" applyAlignment="1">
      <alignment horizontal="center" vertical="center" wrapText="1"/>
    </xf>
    <xf numFmtId="0" fontId="3" fillId="3" borderId="13" xfId="3" applyFont="1" applyFill="1" applyBorder="1" applyAlignment="1">
      <alignment horizontal="center" vertical="center" wrapText="1"/>
    </xf>
    <xf numFmtId="0" fontId="3" fillId="3" borderId="14" xfId="3" applyFont="1" applyFill="1" applyBorder="1" applyAlignment="1">
      <alignment horizontal="center" vertical="center" wrapText="1"/>
    </xf>
    <xf numFmtId="2" fontId="21" fillId="3" borderId="0" xfId="0" applyNumberFormat="1" applyFont="1" applyFill="1" applyBorder="1" applyAlignment="1">
      <alignment horizontal="left" vertical="center" wrapText="1"/>
    </xf>
    <xf numFmtId="0" fontId="22" fillId="3" borderId="0" xfId="3" applyFont="1" applyFill="1" applyAlignment="1">
      <alignment horizontal="center" wrapText="1"/>
    </xf>
    <xf numFmtId="0" fontId="33" fillId="3" borderId="15" xfId="3" applyFont="1" applyFill="1" applyBorder="1" applyAlignment="1">
      <alignment horizontal="left"/>
    </xf>
    <xf numFmtId="0" fontId="33" fillId="3" borderId="11" xfId="3" applyFont="1" applyFill="1" applyBorder="1" applyAlignment="1">
      <alignment horizontal="left"/>
    </xf>
    <xf numFmtId="0" fontId="31" fillId="3" borderId="3" xfId="3" applyFont="1" applyFill="1" applyBorder="1" applyAlignment="1">
      <alignment horizontal="center"/>
    </xf>
    <xf numFmtId="0" fontId="31" fillId="3" borderId="4" xfId="3" applyFont="1" applyFill="1" applyBorder="1" applyAlignment="1">
      <alignment horizontal="center"/>
    </xf>
    <xf numFmtId="0" fontId="31" fillId="3" borderId="5" xfId="3" applyFont="1" applyFill="1" applyBorder="1" applyAlignment="1">
      <alignment horizontal="center"/>
    </xf>
    <xf numFmtId="0" fontId="3" fillId="3" borderId="7" xfId="3" applyFont="1" applyFill="1" applyBorder="1" applyAlignment="1">
      <alignment horizontal="center" vertical="center" wrapText="1"/>
    </xf>
    <xf numFmtId="0" fontId="3" fillId="3" borderId="0" xfId="3" applyFont="1" applyFill="1" applyBorder="1" applyAlignment="1">
      <alignment horizontal="center" vertical="center" wrapText="1"/>
    </xf>
    <xf numFmtId="0" fontId="3" fillId="3" borderId="15" xfId="3" applyFont="1" applyFill="1" applyBorder="1" applyAlignment="1">
      <alignment horizontal="center" vertical="center" wrapText="1"/>
    </xf>
    <xf numFmtId="0" fontId="3" fillId="3" borderId="8" xfId="3" applyFont="1" applyFill="1" applyBorder="1" applyAlignment="1">
      <alignment horizontal="center" vertical="center" wrapText="1"/>
    </xf>
    <xf numFmtId="0" fontId="3" fillId="3" borderId="2" xfId="3" applyFont="1" applyFill="1" applyBorder="1" applyAlignment="1">
      <alignment horizontal="center" vertical="center" wrapText="1"/>
    </xf>
    <xf numFmtId="0" fontId="3" fillId="3" borderId="6" xfId="3" applyFont="1" applyFill="1" applyBorder="1" applyAlignment="1">
      <alignment horizontal="center" vertical="center" wrapText="1"/>
    </xf>
    <xf numFmtId="0" fontId="29" fillId="3" borderId="0" xfId="3" applyFont="1" applyFill="1" applyAlignment="1">
      <alignment horizontal="center" vertical="center"/>
    </xf>
    <xf numFmtId="0" fontId="22" fillId="3" borderId="0" xfId="3" applyFont="1" applyFill="1" applyAlignment="1">
      <alignment horizontal="center"/>
    </xf>
    <xf numFmtId="0" fontId="3" fillId="3" borderId="9" xfId="3" applyFont="1" applyFill="1" applyBorder="1" applyAlignment="1">
      <alignment horizontal="center" vertical="center" wrapText="1"/>
    </xf>
    <xf numFmtId="0" fontId="3" fillId="3" borderId="10" xfId="3" applyFont="1" applyFill="1" applyBorder="1" applyAlignment="1">
      <alignment horizontal="center" vertical="center" wrapText="1"/>
    </xf>
    <xf numFmtId="0" fontId="3" fillId="3" borderId="11" xfId="3" applyFont="1" applyFill="1" applyBorder="1" applyAlignment="1">
      <alignment horizontal="center" vertical="center" wrapText="1"/>
    </xf>
    <xf numFmtId="2" fontId="31" fillId="3" borderId="3" xfId="3" applyNumberFormat="1" applyFont="1" applyFill="1" applyBorder="1" applyAlignment="1">
      <alignment horizontal="center"/>
    </xf>
    <xf numFmtId="2" fontId="31" fillId="3" borderId="4" xfId="3" applyNumberFormat="1" applyFont="1" applyFill="1" applyBorder="1" applyAlignment="1">
      <alignment horizontal="center"/>
    </xf>
    <xf numFmtId="0" fontId="5" fillId="3" borderId="0" xfId="3" applyFont="1" applyFill="1" applyBorder="1" applyAlignment="1">
      <alignment horizontal="right"/>
    </xf>
    <xf numFmtId="0" fontId="2" fillId="3" borderId="0" xfId="3" applyFont="1" applyFill="1" applyBorder="1">
      <alignment horizontal="left"/>
    </xf>
    <xf numFmtId="0" fontId="31" fillId="3" borderId="3" xfId="3" applyFont="1" applyFill="1" applyBorder="1" applyAlignment="1">
      <alignment horizontal="left"/>
    </xf>
    <xf numFmtId="0" fontId="7" fillId="3" borderId="0" xfId="3" applyFont="1" applyFill="1" applyAlignment="1">
      <alignment horizontal="left"/>
    </xf>
    <xf numFmtId="0" fontId="4" fillId="3" borderId="7" xfId="3" applyFont="1" applyFill="1" applyBorder="1" applyAlignment="1">
      <alignment horizontal="center" vertical="center"/>
    </xf>
    <xf numFmtId="0" fontId="33" fillId="3" borderId="3" xfId="3" applyFont="1" applyFill="1" applyBorder="1" applyAlignment="1">
      <alignment horizontal="left" vertical="center"/>
    </xf>
    <xf numFmtId="0" fontId="33" fillId="3" borderId="4" xfId="3" applyFont="1" applyFill="1" applyBorder="1" applyAlignment="1">
      <alignment horizontal="left" vertical="center"/>
    </xf>
    <xf numFmtId="0" fontId="33" fillId="3" borderId="5" xfId="3" applyFont="1" applyFill="1" applyBorder="1" applyAlignment="1">
      <alignment horizontal="left" vertical="center"/>
    </xf>
    <xf numFmtId="0" fontId="22" fillId="3" borderId="12" xfId="3" applyFont="1" applyFill="1" applyBorder="1" applyAlignment="1">
      <alignment horizontal="center" vertical="center" wrapText="1"/>
    </xf>
    <xf numFmtId="0" fontId="22" fillId="3" borderId="9" xfId="3" applyFont="1" applyFill="1" applyBorder="1" applyAlignment="1">
      <alignment horizontal="center" vertical="center" wrapText="1"/>
    </xf>
    <xf numFmtId="0" fontId="22" fillId="3" borderId="13" xfId="3" applyFont="1" applyFill="1" applyBorder="1" applyAlignment="1">
      <alignment horizontal="center" vertical="center" wrapText="1"/>
    </xf>
    <xf numFmtId="0" fontId="22" fillId="3" borderId="10" xfId="3" applyFont="1" applyFill="1" applyBorder="1" applyAlignment="1">
      <alignment horizontal="center" vertical="center" wrapText="1"/>
    </xf>
    <xf numFmtId="0" fontId="22" fillId="3" borderId="14" xfId="3" applyFont="1" applyFill="1" applyBorder="1" applyAlignment="1">
      <alignment horizontal="center" vertical="center" wrapText="1"/>
    </xf>
    <xf numFmtId="0" fontId="22" fillId="3" borderId="11" xfId="3" applyFont="1" applyFill="1" applyBorder="1" applyAlignment="1">
      <alignment horizontal="center" vertical="center" wrapText="1"/>
    </xf>
    <xf numFmtId="0" fontId="22" fillId="3" borderId="7" xfId="3" applyFont="1" applyFill="1" applyBorder="1" applyAlignment="1">
      <alignment horizontal="center" vertical="center"/>
    </xf>
    <xf numFmtId="0" fontId="22" fillId="3" borderId="9" xfId="3" applyFont="1" applyFill="1" applyBorder="1" applyAlignment="1">
      <alignment horizontal="center" vertical="center"/>
    </xf>
  </cellXfs>
  <cellStyles count="4">
    <cellStyle name="Гиперссылка" xfId="1" builtinId="8"/>
    <cellStyle name="Обычный" xfId="0" builtinId="0"/>
    <cellStyle name="Обычный 2" xfId="2"/>
    <cellStyle name="Обычный_Лист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blgorod@rambler.ru,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blgorod@rambler.ru,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blgorod@rambler.ru,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blgorod@rambler.ru,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blgorod@rambler.ru,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blgorod@rambler.ru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  <pageSetUpPr fitToPage="1"/>
  </sheetPr>
  <dimension ref="A1:R67"/>
  <sheetViews>
    <sheetView topLeftCell="E53" zoomScaleSheetLayoutView="100" workbookViewId="0">
      <selection activeCell="F57" sqref="F57"/>
    </sheetView>
  </sheetViews>
  <sheetFormatPr defaultRowHeight="12.75"/>
  <cols>
    <col min="1" max="1" width="4.5703125" customWidth="1"/>
    <col min="2" max="2" width="16.42578125" customWidth="1"/>
    <col min="3" max="3" width="4.28515625" style="22" customWidth="1"/>
    <col min="4" max="4" width="12.85546875" customWidth="1"/>
    <col min="5" max="5" width="8.28515625" style="14" customWidth="1"/>
    <col min="6" max="6" width="9.7109375" customWidth="1"/>
    <col min="7" max="7" width="70.42578125" customWidth="1"/>
    <col min="8" max="8" width="12.7109375" bestFit="1" customWidth="1"/>
    <col min="9" max="9" width="11.5703125" customWidth="1"/>
    <col min="10" max="10" width="12.28515625" bestFit="1" customWidth="1"/>
    <col min="13" max="13" width="10.28515625" bestFit="1" customWidth="1"/>
  </cols>
  <sheetData>
    <row r="1" spans="1:11" ht="24.75" customHeight="1">
      <c r="A1" s="1" t="s">
        <v>98</v>
      </c>
      <c r="B1" s="3" t="s">
        <v>112</v>
      </c>
      <c r="C1" s="19"/>
      <c r="D1" s="15" t="s">
        <v>113</v>
      </c>
      <c r="E1"/>
      <c r="F1" s="26"/>
      <c r="G1" s="37"/>
      <c r="H1" s="34"/>
      <c r="I1" s="34"/>
      <c r="J1" s="33"/>
    </row>
    <row r="2" spans="1:11" ht="15">
      <c r="A2" s="2">
        <v>1</v>
      </c>
      <c r="B2" s="11" t="s">
        <v>142</v>
      </c>
      <c r="C2" s="20">
        <v>1</v>
      </c>
      <c r="D2" s="16">
        <v>9509.18</v>
      </c>
      <c r="E2"/>
      <c r="F2" s="14"/>
      <c r="G2" s="54"/>
      <c r="H2" s="35"/>
      <c r="I2" s="23"/>
      <c r="J2" s="24"/>
      <c r="K2" s="25"/>
    </row>
    <row r="3" spans="1:11" ht="15">
      <c r="A3" s="2">
        <v>2</v>
      </c>
      <c r="B3" s="11" t="s">
        <v>143</v>
      </c>
      <c r="C3" s="20">
        <v>2</v>
      </c>
      <c r="D3" s="16">
        <v>2191.1</v>
      </c>
      <c r="E3"/>
      <c r="F3" s="14"/>
      <c r="G3" s="54"/>
      <c r="H3" s="35"/>
      <c r="I3" s="26"/>
      <c r="J3" s="24"/>
      <c r="K3" s="25"/>
    </row>
    <row r="4" spans="1:11" ht="15">
      <c r="A4" s="2">
        <v>3</v>
      </c>
      <c r="B4" s="12" t="s">
        <v>144</v>
      </c>
      <c r="C4" s="20">
        <v>3</v>
      </c>
      <c r="D4" s="16">
        <v>7702.2</v>
      </c>
      <c r="E4"/>
      <c r="F4" s="14"/>
      <c r="G4" s="54"/>
      <c r="H4" s="35"/>
      <c r="I4" s="26"/>
      <c r="J4" s="24"/>
      <c r="K4" s="25"/>
    </row>
    <row r="5" spans="1:11" ht="15">
      <c r="A5" s="2">
        <v>4</v>
      </c>
      <c r="B5" s="12" t="s">
        <v>145</v>
      </c>
      <c r="C5" s="20">
        <v>4</v>
      </c>
      <c r="D5" s="16">
        <v>5475.7</v>
      </c>
      <c r="E5"/>
      <c r="F5" s="14"/>
      <c r="G5" s="54"/>
      <c r="H5" s="35"/>
      <c r="I5" s="26"/>
      <c r="J5" s="24"/>
      <c r="K5" s="25"/>
    </row>
    <row r="6" spans="1:11" ht="15">
      <c r="A6" s="2">
        <v>5</v>
      </c>
      <c r="B6" s="12" t="s">
        <v>146</v>
      </c>
      <c r="C6" s="20">
        <v>5</v>
      </c>
      <c r="D6" s="16">
        <v>3846.1</v>
      </c>
      <c r="E6"/>
      <c r="F6" s="14"/>
      <c r="G6" s="54"/>
      <c r="H6" s="36"/>
      <c r="I6" s="26"/>
      <c r="J6" s="24"/>
      <c r="K6" s="25"/>
    </row>
    <row r="7" spans="1:11" ht="15">
      <c r="A7" s="2">
        <v>6</v>
      </c>
      <c r="B7" s="12" t="s">
        <v>147</v>
      </c>
      <c r="C7" s="20">
        <v>6</v>
      </c>
      <c r="D7" s="16">
        <v>3645.7</v>
      </c>
      <c r="E7"/>
      <c r="F7" s="14"/>
      <c r="G7" s="54"/>
      <c r="H7" s="35"/>
      <c r="I7" s="26"/>
      <c r="J7" s="24"/>
      <c r="K7" s="25"/>
    </row>
    <row r="8" spans="1:11" ht="15">
      <c r="A8" s="2">
        <v>7</v>
      </c>
      <c r="B8" s="12" t="s">
        <v>148</v>
      </c>
      <c r="C8" s="20">
        <v>7</v>
      </c>
      <c r="D8" s="16">
        <v>8242.7000000000007</v>
      </c>
      <c r="E8"/>
      <c r="F8" s="14"/>
      <c r="G8" s="54"/>
      <c r="H8" s="35"/>
      <c r="I8" s="26"/>
      <c r="J8" s="24"/>
      <c r="K8" s="25"/>
    </row>
    <row r="9" spans="1:11" ht="15">
      <c r="A9" s="2">
        <v>8</v>
      </c>
      <c r="B9" s="12" t="s">
        <v>149</v>
      </c>
      <c r="C9" s="20">
        <v>8</v>
      </c>
      <c r="D9" s="16">
        <v>7234.6</v>
      </c>
      <c r="E9"/>
      <c r="F9" s="14"/>
      <c r="G9" s="54"/>
      <c r="H9" s="35"/>
      <c r="I9" s="26"/>
      <c r="J9" s="24"/>
      <c r="K9" s="25"/>
    </row>
    <row r="10" spans="1:11" ht="15">
      <c r="A10" s="2">
        <v>9</v>
      </c>
      <c r="B10" s="12" t="s">
        <v>150</v>
      </c>
      <c r="C10" s="20">
        <v>9</v>
      </c>
      <c r="D10" s="16">
        <v>5745.36</v>
      </c>
      <c r="E10"/>
      <c r="F10" s="14"/>
      <c r="G10" s="54"/>
      <c r="H10" s="35"/>
      <c r="I10" s="26"/>
      <c r="J10" s="24"/>
      <c r="K10" s="25"/>
    </row>
    <row r="11" spans="1:11" ht="15">
      <c r="A11" s="2">
        <v>10</v>
      </c>
      <c r="B11" s="12" t="s">
        <v>151</v>
      </c>
      <c r="C11" s="20">
        <v>10</v>
      </c>
      <c r="D11" s="16">
        <v>5755.42</v>
      </c>
      <c r="E11"/>
      <c r="F11" s="14"/>
      <c r="G11" s="54"/>
      <c r="H11" s="35"/>
      <c r="I11" s="26"/>
      <c r="J11" s="24"/>
      <c r="K11" s="25"/>
    </row>
    <row r="12" spans="1:11" ht="15">
      <c r="A12" s="2">
        <v>11</v>
      </c>
      <c r="B12" s="12" t="s">
        <v>152</v>
      </c>
      <c r="C12" s="20">
        <v>11</v>
      </c>
      <c r="D12" s="16">
        <v>5376.08</v>
      </c>
      <c r="E12"/>
      <c r="F12" s="14"/>
      <c r="G12" s="54"/>
      <c r="H12" s="35"/>
      <c r="I12" s="26"/>
      <c r="J12" s="24"/>
      <c r="K12" s="25"/>
    </row>
    <row r="13" spans="1:11" ht="15">
      <c r="A13" s="2">
        <v>12</v>
      </c>
      <c r="B13" s="12" t="s">
        <v>153</v>
      </c>
      <c r="C13" s="20">
        <v>12</v>
      </c>
      <c r="D13" s="16">
        <v>5736.67</v>
      </c>
      <c r="E13"/>
      <c r="F13" s="14"/>
      <c r="G13" s="54"/>
      <c r="H13" s="35"/>
      <c r="I13" s="26"/>
      <c r="J13" s="24"/>
      <c r="K13" s="25"/>
    </row>
    <row r="14" spans="1:11" ht="15">
      <c r="A14" s="2">
        <v>13</v>
      </c>
      <c r="B14" s="12" t="s">
        <v>154</v>
      </c>
      <c r="C14" s="20">
        <v>13</v>
      </c>
      <c r="D14" s="16">
        <v>5676.9</v>
      </c>
      <c r="E14"/>
      <c r="F14" s="14"/>
      <c r="G14" s="54"/>
      <c r="H14" s="26"/>
      <c r="I14" s="27"/>
      <c r="J14" s="24"/>
      <c r="K14" s="25"/>
    </row>
    <row r="15" spans="1:11" ht="15">
      <c r="A15" s="2">
        <v>14</v>
      </c>
      <c r="B15" s="12" t="s">
        <v>155</v>
      </c>
      <c r="C15" s="20">
        <v>14</v>
      </c>
      <c r="D15" s="16">
        <v>10517.5</v>
      </c>
      <c r="E15"/>
      <c r="F15" s="14"/>
      <c r="G15" s="54"/>
      <c r="H15" s="35"/>
      <c r="I15" s="26"/>
      <c r="J15" s="24"/>
      <c r="K15" s="25"/>
    </row>
    <row r="16" spans="1:11" ht="15">
      <c r="A16" s="2">
        <v>15</v>
      </c>
      <c r="B16" s="12" t="s">
        <v>156</v>
      </c>
      <c r="C16" s="20">
        <v>15</v>
      </c>
      <c r="D16" s="16">
        <v>6421.6</v>
      </c>
      <c r="E16"/>
      <c r="F16" s="14"/>
      <c r="G16" s="54"/>
      <c r="H16" s="35"/>
      <c r="I16" s="28"/>
      <c r="J16" s="24"/>
      <c r="K16" s="25"/>
    </row>
    <row r="17" spans="1:15" ht="15">
      <c r="A17" s="2">
        <v>16</v>
      </c>
      <c r="B17" s="12" t="s">
        <v>157</v>
      </c>
      <c r="C17" s="20">
        <v>16</v>
      </c>
      <c r="D17" s="16">
        <v>6225.33</v>
      </c>
      <c r="E17"/>
      <c r="F17" s="14"/>
      <c r="G17" s="54"/>
      <c r="H17" s="36"/>
      <c r="I17" s="29"/>
      <c r="J17" s="24"/>
      <c r="K17" s="25"/>
    </row>
    <row r="18" spans="1:15" ht="15">
      <c r="A18" s="2">
        <v>17</v>
      </c>
      <c r="B18" s="12" t="s">
        <v>158</v>
      </c>
      <c r="C18" s="20">
        <v>17</v>
      </c>
      <c r="D18" s="16">
        <v>3781.1</v>
      </c>
      <c r="E18"/>
      <c r="F18" s="14"/>
      <c r="G18" s="54"/>
      <c r="H18" s="36"/>
      <c r="I18" s="29"/>
      <c r="J18" s="24"/>
      <c r="K18" s="25"/>
    </row>
    <row r="19" spans="1:15" ht="15">
      <c r="A19" s="2">
        <v>18</v>
      </c>
      <c r="B19" s="12" t="s">
        <v>159</v>
      </c>
      <c r="C19" s="20">
        <v>18</v>
      </c>
      <c r="D19" s="16">
        <v>3641.11</v>
      </c>
      <c r="E19"/>
      <c r="F19" s="14"/>
      <c r="G19" s="54"/>
      <c r="H19" s="36"/>
      <c r="I19" s="29"/>
      <c r="J19" s="24"/>
      <c r="K19" s="30"/>
    </row>
    <row r="20" spans="1:15" ht="15">
      <c r="A20" s="2">
        <v>19</v>
      </c>
      <c r="B20" s="12" t="s">
        <v>160</v>
      </c>
      <c r="C20" s="20">
        <v>19</v>
      </c>
      <c r="D20" s="16">
        <v>5477.19</v>
      </c>
      <c r="E20"/>
      <c r="F20" s="14"/>
      <c r="G20" s="54"/>
      <c r="H20" s="37"/>
      <c r="I20" s="31"/>
      <c r="J20" s="32"/>
      <c r="K20" s="33"/>
    </row>
    <row r="21" spans="1:15" ht="15">
      <c r="A21" s="2">
        <v>20</v>
      </c>
      <c r="B21" s="12" t="s">
        <v>161</v>
      </c>
      <c r="C21" s="20">
        <v>20</v>
      </c>
      <c r="D21" s="16">
        <v>7276.2</v>
      </c>
      <c r="E21"/>
      <c r="F21" s="14"/>
      <c r="G21" s="54"/>
    </row>
    <row r="22" spans="1:15" ht="15">
      <c r="A22" s="2">
        <v>21</v>
      </c>
      <c r="B22" s="12" t="s">
        <v>162</v>
      </c>
      <c r="C22" s="20">
        <v>21</v>
      </c>
      <c r="D22" s="16">
        <v>11395.2</v>
      </c>
      <c r="E22"/>
      <c r="F22" s="14"/>
      <c r="G22" s="54"/>
    </row>
    <row r="23" spans="1:15" ht="15">
      <c r="A23" s="2">
        <v>22</v>
      </c>
      <c r="B23" s="12" t="s">
        <v>163</v>
      </c>
      <c r="C23" s="20">
        <v>22</v>
      </c>
      <c r="D23" s="16">
        <v>5370.99</v>
      </c>
      <c r="E23"/>
      <c r="F23" s="14"/>
      <c r="G23" s="54"/>
    </row>
    <row r="24" spans="1:15" ht="15">
      <c r="A24" s="2">
        <v>23</v>
      </c>
      <c r="B24" s="12" t="s">
        <v>164</v>
      </c>
      <c r="C24" s="20">
        <v>23</v>
      </c>
      <c r="D24" s="16">
        <v>5306.36</v>
      </c>
      <c r="E24"/>
      <c r="F24" s="14"/>
      <c r="G24" s="54"/>
    </row>
    <row r="25" spans="1:15" ht="15">
      <c r="A25" s="2">
        <v>24</v>
      </c>
      <c r="B25" s="12" t="s">
        <v>165</v>
      </c>
      <c r="C25" s="20">
        <v>24</v>
      </c>
      <c r="D25" s="16">
        <v>5284.1</v>
      </c>
      <c r="E25"/>
      <c r="F25" s="14"/>
      <c r="G25" s="54"/>
    </row>
    <row r="26" spans="1:15" ht="15">
      <c r="A26" s="2">
        <v>25</v>
      </c>
      <c r="B26" s="12" t="s">
        <v>166</v>
      </c>
      <c r="C26" s="20">
        <v>25</v>
      </c>
      <c r="D26" s="16">
        <v>4910.4399999999996</v>
      </c>
      <c r="E26"/>
      <c r="F26" s="14"/>
      <c r="G26" s="54">
        <f>I35*D19</f>
        <v>29313.192402324348</v>
      </c>
    </row>
    <row r="27" spans="1:15" ht="15">
      <c r="A27" s="2">
        <v>26</v>
      </c>
      <c r="B27" s="12" t="s">
        <v>167</v>
      </c>
      <c r="C27" s="20">
        <v>26</v>
      </c>
      <c r="D27" s="16">
        <v>4954.4399999999996</v>
      </c>
      <c r="E27"/>
      <c r="F27" s="14"/>
      <c r="G27" s="54"/>
    </row>
    <row r="28" spans="1:15" ht="15">
      <c r="A28" s="2">
        <v>27</v>
      </c>
      <c r="B28" s="12" t="s">
        <v>168</v>
      </c>
      <c r="C28" s="20">
        <v>27</v>
      </c>
      <c r="D28" s="16">
        <v>5196.72</v>
      </c>
      <c r="E28"/>
      <c r="F28" s="14"/>
      <c r="G28" s="54"/>
    </row>
    <row r="29" spans="1:15" ht="15">
      <c r="A29" s="2">
        <v>28</v>
      </c>
      <c r="B29" s="12" t="s">
        <v>169</v>
      </c>
      <c r="C29" s="20">
        <v>28</v>
      </c>
      <c r="D29" s="16">
        <v>5430.5</v>
      </c>
      <c r="E29"/>
      <c r="F29" s="14"/>
      <c r="G29" s="54"/>
    </row>
    <row r="30" spans="1:15">
      <c r="A30" s="2"/>
      <c r="B30" s="5" t="s">
        <v>108</v>
      </c>
      <c r="C30" s="21"/>
      <c r="D30" s="17">
        <f>SUM(D2:D29)</f>
        <v>167326.49</v>
      </c>
      <c r="E30">
        <f>SUM(E2:E29)</f>
        <v>0</v>
      </c>
      <c r="F30" s="14">
        <f>SUM(F2:F29)</f>
        <v>0</v>
      </c>
      <c r="G30" s="14">
        <f>SUM(G2:G29)</f>
        <v>29313.192402324348</v>
      </c>
    </row>
    <row r="31" spans="1:15" s="38" customFormat="1" ht="37.5">
      <c r="C31" s="39"/>
      <c r="E31" s="40"/>
      <c r="F31" s="41" t="s">
        <v>98</v>
      </c>
      <c r="G31" s="42" t="s">
        <v>122</v>
      </c>
      <c r="H31" s="43" t="s">
        <v>124</v>
      </c>
      <c r="I31" s="43" t="s">
        <v>125</v>
      </c>
      <c r="J31" s="44" t="s">
        <v>126</v>
      </c>
      <c r="M31" s="52"/>
    </row>
    <row r="32" spans="1:15" s="38" customFormat="1" ht="18.75">
      <c r="C32" s="39"/>
      <c r="E32" s="40"/>
      <c r="F32" s="45">
        <v>1</v>
      </c>
      <c r="G32" s="55" t="s">
        <v>102</v>
      </c>
      <c r="H32" s="46">
        <f>3627015-809678.89-928337</f>
        <v>1888999.1099999999</v>
      </c>
      <c r="I32" s="47">
        <f>H32/J32</f>
        <v>11.289300994719964</v>
      </c>
      <c r="J32" s="48">
        <v>167326.49</v>
      </c>
      <c r="K32" s="46"/>
      <c r="L32" s="41"/>
      <c r="M32" s="46"/>
      <c r="N32" s="41"/>
      <c r="O32" s="40" t="e">
        <f>'Строителей 3'!H65+'Строителей 11'!H60+'Энергетиков 25'!H64+'Энергетиков 27'!H61+'Энергетиков 29'!H59+#REF!+#REF!+#REF!+#REF!+#REF!+#REF!+#REF!+#REF!+#REF!+#REF!+#REF!+#REF!+#REF!+#REF!+'Мира 21'!H69+#REF!+#REF!+#REF!+#REF!+#REF!+#REF!+#REF!</f>
        <v>#REF!</v>
      </c>
    </row>
    <row r="33" spans="3:16" s="38" customFormat="1" ht="18.75">
      <c r="C33" s="39"/>
      <c r="E33" s="40"/>
      <c r="F33" s="45">
        <v>2</v>
      </c>
      <c r="G33" s="56" t="s">
        <v>135</v>
      </c>
      <c r="H33" s="58">
        <v>119000</v>
      </c>
      <c r="I33" s="47">
        <f>H33/J33</f>
        <v>0.71118446338054431</v>
      </c>
      <c r="J33" s="48">
        <v>167326.49</v>
      </c>
      <c r="K33" s="41"/>
      <c r="L33" s="57"/>
      <c r="M33" s="41"/>
      <c r="N33" s="57"/>
      <c r="O33" s="41"/>
      <c r="P33" s="57"/>
    </row>
    <row r="34" spans="3:16" s="38" customFormat="1" ht="18.75">
      <c r="C34" s="39"/>
      <c r="E34" s="40"/>
      <c r="F34" s="45">
        <v>3</v>
      </c>
      <c r="G34" s="41" t="s">
        <v>268</v>
      </c>
      <c r="H34" s="58">
        <f>137250+117024</f>
        <v>254274</v>
      </c>
      <c r="I34" s="47">
        <f>H34/J34</f>
        <v>1.5196278843833992</v>
      </c>
      <c r="J34" s="48">
        <v>167326.49</v>
      </c>
    </row>
    <row r="35" spans="3:16" s="38" customFormat="1" ht="18.75">
      <c r="C35" s="39"/>
      <c r="E35" s="40"/>
      <c r="F35" s="45">
        <v>4</v>
      </c>
      <c r="G35" s="55" t="s">
        <v>104</v>
      </c>
      <c r="H35" s="58">
        <v>1347081.96</v>
      </c>
      <c r="I35" s="47">
        <f>H35/J35</f>
        <v>8.0506198390942174</v>
      </c>
      <c r="J35" s="48">
        <v>167326.49</v>
      </c>
    </row>
    <row r="36" spans="3:16" s="38" customFormat="1" ht="18.75">
      <c r="C36" s="39"/>
      <c r="E36" s="40"/>
      <c r="F36" s="45">
        <v>5</v>
      </c>
      <c r="G36" s="55" t="s">
        <v>131</v>
      </c>
      <c r="H36" s="58">
        <v>240349.56</v>
      </c>
      <c r="I36" s="47">
        <f t="shared" ref="I36:I42" si="0">H36/J36</f>
        <v>1.4364106962382346</v>
      </c>
      <c r="J36" s="48">
        <v>167326.49</v>
      </c>
      <c r="K36" s="40" t="e">
        <f>'Строителей 3'!H52+'Строителей 11'!H47+'Энергетиков 25'!H51+'Энергетиков 27'!H49+'Энергетиков 29'!H46+#REF!+#REF!+#REF!+#REF!+#REF!+#REF!+#REF!+#REF!+#REF!+#REF!+#REF!+#REF!+#REF!+#REF!+#REF!+'Мира 21'!H58+#REF!+#REF!+#REF!+#REF!+#REF!+#REF!+#REF!</f>
        <v>#REF!</v>
      </c>
    </row>
    <row r="37" spans="3:16" s="38" customFormat="1" ht="18.75">
      <c r="C37" s="39"/>
      <c r="E37" s="40"/>
      <c r="F37" s="45">
        <v>6</v>
      </c>
      <c r="G37" s="55" t="s">
        <v>129</v>
      </c>
      <c r="H37" s="58">
        <v>2218290</v>
      </c>
      <c r="I37" s="47">
        <f t="shared" si="0"/>
        <v>13.257255321617038</v>
      </c>
      <c r="J37" s="48">
        <v>167326.49</v>
      </c>
    </row>
    <row r="38" spans="3:16" s="38" customFormat="1" ht="18.75">
      <c r="C38" s="39"/>
      <c r="E38" s="40"/>
      <c r="F38" s="45">
        <v>7</v>
      </c>
      <c r="G38" s="55" t="s">
        <v>269</v>
      </c>
      <c r="H38" s="58">
        <v>160272</v>
      </c>
      <c r="I38" s="47">
        <f>H38/J38</f>
        <v>0.95783996903299651</v>
      </c>
      <c r="J38" s="48">
        <v>167326.49</v>
      </c>
    </row>
    <row r="39" spans="3:16" s="38" customFormat="1" ht="18.75">
      <c r="C39" s="39"/>
      <c r="E39" s="40"/>
      <c r="F39" s="45">
        <v>8</v>
      </c>
      <c r="G39" s="55" t="s">
        <v>105</v>
      </c>
      <c r="H39" s="58">
        <v>2153396</v>
      </c>
      <c r="I39" s="47">
        <f>H39/J39</f>
        <v>12.869426711813533</v>
      </c>
      <c r="J39" s="48">
        <v>167326.49</v>
      </c>
    </row>
    <row r="40" spans="3:16" s="38" customFormat="1" ht="18.75">
      <c r="C40" s="39"/>
      <c r="E40" s="40"/>
      <c r="F40" s="45">
        <v>9</v>
      </c>
      <c r="G40" s="55" t="s">
        <v>136</v>
      </c>
      <c r="H40" s="60">
        <v>5163045</v>
      </c>
      <c r="I40" s="47">
        <f>H40/J40</f>
        <v>30.856112501971445</v>
      </c>
      <c r="J40" s="48">
        <v>167326.49</v>
      </c>
    </row>
    <row r="41" spans="3:16" s="38" customFormat="1" ht="18.75">
      <c r="C41" s="39"/>
      <c r="E41" s="40"/>
      <c r="F41" s="45">
        <v>10</v>
      </c>
      <c r="G41" s="55" t="s">
        <v>137</v>
      </c>
      <c r="H41" s="58">
        <f>5779554.64-5163045</f>
        <v>616509.63999999966</v>
      </c>
      <c r="I41" s="47">
        <f t="shared" si="0"/>
        <v>3.6844712394313639</v>
      </c>
      <c r="J41" s="48">
        <v>167326.49</v>
      </c>
    </row>
    <row r="42" spans="3:16" s="38" customFormat="1" ht="18.75">
      <c r="C42" s="39"/>
      <c r="E42" s="40"/>
      <c r="F42" s="45">
        <v>11</v>
      </c>
      <c r="G42" s="55" t="s">
        <v>130</v>
      </c>
      <c r="H42" s="58">
        <f>369448-144000+55459.83+22327.77-23345.77+35699.61+4537.1</f>
        <v>320126.53999999998</v>
      </c>
      <c r="I42" s="47">
        <f t="shared" si="0"/>
        <v>1.9131850551577338</v>
      </c>
      <c r="J42" s="48">
        <v>167326.49</v>
      </c>
    </row>
    <row r="43" spans="3:16" s="38" customFormat="1" ht="18.75">
      <c r="C43" s="39"/>
      <c r="E43" s="40"/>
      <c r="F43" s="45">
        <v>12</v>
      </c>
      <c r="G43" s="55" t="s">
        <v>139</v>
      </c>
      <c r="H43" s="58">
        <f>16986+29261.88+71696.24</f>
        <v>117944.12000000001</v>
      </c>
      <c r="I43" s="47">
        <f>H43/J43</f>
        <v>0.70487416547134896</v>
      </c>
      <c r="J43" s="48">
        <v>167326.49</v>
      </c>
      <c r="M43" s="40"/>
    </row>
    <row r="44" spans="3:16" s="38" customFormat="1" ht="18.75">
      <c r="C44" s="39"/>
      <c r="E44" s="40"/>
      <c r="F44" s="45">
        <v>13</v>
      </c>
      <c r="G44" s="55" t="s">
        <v>106</v>
      </c>
      <c r="H44" s="58">
        <v>13937886</v>
      </c>
      <c r="I44" s="47">
        <f>H44/J44</f>
        <v>83.297546013186562</v>
      </c>
      <c r="J44" s="48">
        <v>167326.49</v>
      </c>
    </row>
    <row r="45" spans="3:16" s="38" customFormat="1" ht="18.75">
      <c r="C45" s="39"/>
      <c r="E45" s="40"/>
      <c r="F45" s="45">
        <v>14</v>
      </c>
      <c r="G45" s="55" t="s">
        <v>127</v>
      </c>
      <c r="H45" s="58">
        <f>H44*20.2%</f>
        <v>2815452.9719999996</v>
      </c>
      <c r="I45" s="47">
        <f>H45/J45</f>
        <v>16.826104294663683</v>
      </c>
      <c r="J45" s="48">
        <v>167326.49</v>
      </c>
    </row>
    <row r="46" spans="3:16" s="38" customFormat="1" ht="18.75">
      <c r="C46" s="39"/>
      <c r="E46" s="40"/>
      <c r="F46" s="45">
        <v>15</v>
      </c>
      <c r="G46" s="55" t="s">
        <v>128</v>
      </c>
      <c r="H46" s="58">
        <f>414582+4255.8</f>
        <v>418837.8</v>
      </c>
      <c r="I46" s="47">
        <f>H46/J46</f>
        <v>2.5031171095503169</v>
      </c>
      <c r="J46" s="48">
        <v>167326.49</v>
      </c>
    </row>
    <row r="47" spans="3:16" s="38" customFormat="1" ht="18.75">
      <c r="C47" s="39"/>
      <c r="E47" s="40"/>
      <c r="F47" s="45">
        <v>16</v>
      </c>
      <c r="G47" s="56" t="s">
        <v>107</v>
      </c>
      <c r="H47" s="59">
        <f>240000+19900+400+113601+100050.6</f>
        <v>473951.6</v>
      </c>
      <c r="I47" s="47">
        <f>H47/J47</f>
        <v>2.8324959186079863</v>
      </c>
      <c r="J47" s="48">
        <v>167326.49</v>
      </c>
    </row>
    <row r="48" spans="3:16" s="38" customFormat="1" ht="18.75">
      <c r="C48" s="39"/>
      <c r="E48" s="40"/>
    </row>
    <row r="49" spans="3:13" s="38" customFormat="1" ht="18.75">
      <c r="C49" s="39"/>
      <c r="E49" s="40"/>
      <c r="G49" s="42" t="s">
        <v>123</v>
      </c>
      <c r="H49" s="49">
        <f>SUM(H32:H48)</f>
        <v>32245416.302000001</v>
      </c>
      <c r="I49" s="50">
        <f>SUM(I32:I48)</f>
        <v>192.70957217832034</v>
      </c>
      <c r="J49" s="44"/>
    </row>
    <row r="50" spans="3:13" s="38" customFormat="1" ht="18.75">
      <c r="C50" s="39"/>
      <c r="E50" s="40"/>
    </row>
    <row r="51" spans="3:13">
      <c r="G51" s="1" t="s">
        <v>25</v>
      </c>
    </row>
    <row r="54" spans="3:13">
      <c r="G54" s="51"/>
      <c r="H54" s="51"/>
      <c r="I54" s="51"/>
      <c r="J54" s="51"/>
      <c r="K54" s="51"/>
      <c r="L54" s="51"/>
      <c r="M54" s="51"/>
    </row>
    <row r="55" spans="3:13">
      <c r="G55" s="51"/>
      <c r="H55" s="51"/>
      <c r="I55" s="51"/>
      <c r="J55" s="51"/>
      <c r="K55" s="51"/>
      <c r="L55" s="51"/>
      <c r="M55" s="51"/>
    </row>
    <row r="56" spans="3:13">
      <c r="G56" s="51"/>
      <c r="H56" s="51"/>
      <c r="I56" s="51"/>
      <c r="J56" s="51"/>
      <c r="K56" s="51"/>
      <c r="L56" s="51"/>
      <c r="M56" s="51"/>
    </row>
    <row r="57" spans="3:13">
      <c r="G57" s="51"/>
      <c r="H57" s="51"/>
      <c r="I57" s="51"/>
      <c r="J57" s="51"/>
      <c r="K57" s="51"/>
      <c r="L57" s="51"/>
      <c r="M57" s="51"/>
    </row>
    <row r="58" spans="3:13">
      <c r="G58" s="51"/>
      <c r="H58" s="51"/>
      <c r="I58" s="51"/>
      <c r="J58" s="51"/>
      <c r="K58" s="51"/>
      <c r="L58" s="51"/>
      <c r="M58" s="51"/>
    </row>
    <row r="59" spans="3:13">
      <c r="G59" s="51"/>
      <c r="H59" s="51"/>
      <c r="I59" s="51"/>
      <c r="J59" s="51"/>
      <c r="K59" s="51"/>
      <c r="L59" s="51"/>
      <c r="M59" s="51"/>
    </row>
    <row r="60" spans="3:13">
      <c r="G60" s="51"/>
      <c r="H60" s="51"/>
      <c r="I60" s="51"/>
      <c r="J60" s="51"/>
      <c r="K60" s="51"/>
      <c r="L60" s="51"/>
      <c r="M60" s="51"/>
    </row>
    <row r="61" spans="3:13">
      <c r="G61" s="51"/>
      <c r="H61" s="51"/>
      <c r="I61" s="51"/>
      <c r="J61" s="51"/>
      <c r="K61" s="51"/>
      <c r="L61" s="51"/>
      <c r="M61" s="51"/>
    </row>
    <row r="62" spans="3:13">
      <c r="G62" s="51"/>
      <c r="H62" s="51"/>
      <c r="I62" s="51"/>
      <c r="J62" s="51"/>
      <c r="K62" s="51"/>
      <c r="L62" s="51"/>
      <c r="M62" s="51"/>
    </row>
    <row r="63" spans="3:13">
      <c r="G63" s="51"/>
      <c r="H63" s="51"/>
      <c r="I63" s="51"/>
      <c r="J63" s="51"/>
      <c r="K63" s="51"/>
      <c r="L63" s="51"/>
      <c r="M63" s="51"/>
    </row>
    <row r="64" spans="3:13">
      <c r="G64" s="51"/>
      <c r="H64" s="51"/>
      <c r="I64" s="51"/>
      <c r="J64" s="51"/>
      <c r="K64" s="51"/>
      <c r="L64" s="51"/>
      <c r="M64" s="51"/>
    </row>
    <row r="65" spans="7:18"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  <c r="R65" s="181"/>
    </row>
    <row r="67" spans="7:18"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</row>
  </sheetData>
  <sheetProtection password="CC5F" sheet="1" objects="1" scenarios="1" selectLockedCells="1" selectUnlockedCells="1"/>
  <mergeCells count="1">
    <mergeCell ref="G65:R65"/>
  </mergeCells>
  <phoneticPr fontId="11" type="noConversion"/>
  <pageMargins left="0.75" right="0.75" top="1" bottom="1" header="0.5" footer="0.5"/>
  <pageSetup paperSize="9" scale="8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24"/>
  </sheetPr>
  <dimension ref="A1:J46"/>
  <sheetViews>
    <sheetView topLeftCell="A50" zoomScale="110" zoomScaleNormal="110" workbookViewId="0">
      <selection activeCell="B51" sqref="B51"/>
    </sheetView>
  </sheetViews>
  <sheetFormatPr defaultRowHeight="12.75"/>
  <cols>
    <col min="1" max="1" width="4.28515625" customWidth="1"/>
    <col min="2" max="2" width="17.28515625" customWidth="1"/>
    <col min="3" max="3" width="10" style="18" customWidth="1"/>
    <col min="4" max="4" width="13.85546875" customWidth="1"/>
    <col min="5" max="5" width="12.28515625" customWidth="1"/>
    <col min="7" max="7" width="15.5703125" customWidth="1"/>
    <col min="8" max="8" width="11.5703125" customWidth="1"/>
    <col min="9" max="9" width="10" customWidth="1"/>
  </cols>
  <sheetData>
    <row r="1" spans="1:10" ht="27.75" customHeight="1">
      <c r="F1" s="2" t="s">
        <v>98</v>
      </c>
      <c r="G1" s="4" t="s">
        <v>122</v>
      </c>
      <c r="H1" s="3" t="s">
        <v>124</v>
      </c>
      <c r="I1" s="3" t="s">
        <v>125</v>
      </c>
      <c r="J1" s="6" t="s">
        <v>126</v>
      </c>
    </row>
    <row r="2" spans="1:10" ht="15">
      <c r="A2" s="2">
        <v>1</v>
      </c>
      <c r="B2" s="12" t="s">
        <v>159</v>
      </c>
      <c r="C2" s="16">
        <v>3641.1</v>
      </c>
      <c r="F2" s="9">
        <v>1</v>
      </c>
      <c r="G2" s="7" t="s">
        <v>138</v>
      </c>
      <c r="H2" s="2">
        <v>0</v>
      </c>
      <c r="I2" s="8">
        <f>H2/J2</f>
        <v>0</v>
      </c>
      <c r="J2" s="53">
        <v>8551.5400000000009</v>
      </c>
    </row>
    <row r="3" spans="1:10" ht="15">
      <c r="A3" s="2">
        <v>2</v>
      </c>
      <c r="B3" s="12" t="s">
        <v>166</v>
      </c>
      <c r="C3" s="16">
        <v>4910.4399999999996</v>
      </c>
    </row>
    <row r="4" spans="1:10">
      <c r="C4" s="18">
        <f>SUM(C2:C3)</f>
        <v>8551.5399999999991</v>
      </c>
    </row>
    <row r="13" spans="1:10" ht="25.5">
      <c r="B13" s="12" t="s">
        <v>156</v>
      </c>
      <c r="C13" s="16">
        <v>6418.4</v>
      </c>
      <c r="D13" s="14">
        <f>I14*C13</f>
        <v>152894.66278462586</v>
      </c>
      <c r="E13" s="14">
        <f>I15*C13</f>
        <v>30884.721882494421</v>
      </c>
      <c r="F13" s="2" t="s">
        <v>98</v>
      </c>
      <c r="G13" s="4" t="s">
        <v>122</v>
      </c>
      <c r="H13" s="3" t="s">
        <v>124</v>
      </c>
      <c r="I13" s="3" t="s">
        <v>125</v>
      </c>
      <c r="J13" s="6" t="s">
        <v>126</v>
      </c>
    </row>
    <row r="14" spans="1:10" ht="15">
      <c r="B14" s="12" t="s">
        <v>157</v>
      </c>
      <c r="C14" s="16">
        <v>6220.97</v>
      </c>
      <c r="D14" s="14">
        <f>I14*C14</f>
        <v>148191.62257622991</v>
      </c>
      <c r="E14" s="14">
        <f>I15*C14</f>
        <v>29934.70776039844</v>
      </c>
      <c r="F14" s="9">
        <v>1</v>
      </c>
      <c r="G14" s="7" t="s">
        <v>209</v>
      </c>
      <c r="H14" s="2">
        <v>301087</v>
      </c>
      <c r="I14" s="8">
        <f>H14/J14</f>
        <v>23.82130480877257</v>
      </c>
      <c r="J14" s="10">
        <v>12639.4</v>
      </c>
    </row>
    <row r="15" spans="1:10">
      <c r="C15" s="18">
        <f>SUM(C13:C14)</f>
        <v>12639.369999999999</v>
      </c>
      <c r="G15" t="s">
        <v>210</v>
      </c>
      <c r="H15">
        <f>H14*0.202</f>
        <v>60819.574000000001</v>
      </c>
      <c r="I15" s="8">
        <f>H15/J15</f>
        <v>4.811903571372059</v>
      </c>
      <c r="J15" s="10">
        <v>12639.4</v>
      </c>
    </row>
    <row r="18" spans="2:5" ht="14.45" customHeight="1">
      <c r="B18" s="11" t="s">
        <v>142</v>
      </c>
      <c r="C18" s="16">
        <v>9505.68</v>
      </c>
      <c r="D18" s="13">
        <f>C18*14.43*12</f>
        <v>1646003.5488</v>
      </c>
      <c r="E18" s="13">
        <f>C18*1.42*12</f>
        <v>161976.78719999999</v>
      </c>
    </row>
    <row r="19" spans="2:5" ht="14.45" customHeight="1">
      <c r="B19" s="11" t="s">
        <v>143</v>
      </c>
      <c r="C19" s="16">
        <v>2188.1</v>
      </c>
      <c r="D19" s="13">
        <f>C19*14.43*12</f>
        <v>378891.39600000001</v>
      </c>
      <c r="E19" s="13">
        <f>C19*1.42*12</f>
        <v>37285.224000000002</v>
      </c>
    </row>
    <row r="20" spans="2:5" ht="14.45" customHeight="1">
      <c r="B20" s="12" t="s">
        <v>144</v>
      </c>
      <c r="C20" s="16">
        <v>7702.4</v>
      </c>
      <c r="D20" s="13">
        <f>C20*14.43*12</f>
        <v>1333747.584</v>
      </c>
      <c r="E20" s="13">
        <f>C20*1.42*12</f>
        <v>131248.89600000001</v>
      </c>
    </row>
    <row r="21" spans="2:5" ht="14.45" customHeight="1">
      <c r="B21" s="12" t="s">
        <v>145</v>
      </c>
      <c r="C21" s="16">
        <v>5475.6</v>
      </c>
      <c r="D21" s="13">
        <f>C21*14.43*12</f>
        <v>948154.89600000018</v>
      </c>
      <c r="E21" s="13">
        <f>C21*1.42*12</f>
        <v>93304.224000000002</v>
      </c>
    </row>
    <row r="22" spans="2:5" ht="14.45" customHeight="1">
      <c r="B22" s="12" t="s">
        <v>146</v>
      </c>
      <c r="C22" s="16">
        <v>3843.5</v>
      </c>
      <c r="D22" s="13">
        <f>C22*9.33*12</f>
        <v>430318.26</v>
      </c>
      <c r="E22" s="13">
        <f>C22*1.01*12</f>
        <v>46583.22</v>
      </c>
    </row>
    <row r="23" spans="2:5" ht="14.45" customHeight="1">
      <c r="B23" s="12" t="s">
        <v>147</v>
      </c>
      <c r="C23" s="16">
        <v>3638.5</v>
      </c>
      <c r="D23" s="13">
        <f>C23*14.43*12</f>
        <v>630042.66</v>
      </c>
      <c r="E23" s="13">
        <f>C23*1.42*12</f>
        <v>62000.04</v>
      </c>
    </row>
    <row r="24" spans="2:5" ht="14.45" customHeight="1">
      <c r="B24" s="12" t="s">
        <v>148</v>
      </c>
      <c r="C24" s="16">
        <v>8242.7999999999993</v>
      </c>
      <c r="D24" s="13">
        <f>C24*14.43*12</f>
        <v>1427323.2479999999</v>
      </c>
      <c r="E24" s="13">
        <f>C24*1.42*12</f>
        <v>140457.31199999998</v>
      </c>
    </row>
    <row r="25" spans="2:5" ht="14.45" customHeight="1">
      <c r="B25" s="12" t="s">
        <v>149</v>
      </c>
      <c r="C25" s="16">
        <v>7234.2</v>
      </c>
      <c r="D25" s="13">
        <f>C25*14.43*12</f>
        <v>1252674.0719999999</v>
      </c>
      <c r="E25" s="13">
        <f>C25*1.42*12</f>
        <v>123270.76799999998</v>
      </c>
    </row>
    <row r="26" spans="2:5" ht="14.45" customHeight="1">
      <c r="B26" s="12" t="s">
        <v>150</v>
      </c>
      <c r="C26" s="16">
        <v>5745.16</v>
      </c>
      <c r="D26" s="13">
        <f>C26*14.43*12</f>
        <v>994831.90559999994</v>
      </c>
      <c r="E26" s="13">
        <f>C26*1.42*12</f>
        <v>97897.526399999988</v>
      </c>
    </row>
    <row r="27" spans="2:5" ht="14.45" customHeight="1">
      <c r="B27" s="12" t="s">
        <v>151</v>
      </c>
      <c r="C27" s="16">
        <v>5755.42</v>
      </c>
      <c r="D27" s="13">
        <f>C27*14.43*12</f>
        <v>996608.52720000013</v>
      </c>
      <c r="E27" s="13">
        <f>C27*1.42*12</f>
        <v>98072.356799999994</v>
      </c>
    </row>
    <row r="28" spans="2:5" ht="14.45" customHeight="1">
      <c r="B28" s="12" t="s">
        <v>152</v>
      </c>
      <c r="C28" s="16">
        <v>5376.01</v>
      </c>
      <c r="D28" s="13">
        <f>C28*12.25*12</f>
        <v>790273.47</v>
      </c>
      <c r="E28" s="13">
        <f>C28*1.15*12</f>
        <v>74188.937999999995</v>
      </c>
    </row>
    <row r="29" spans="2:5" ht="14.45" customHeight="1">
      <c r="B29" s="12" t="s">
        <v>153</v>
      </c>
      <c r="C29" s="16">
        <v>5735.67</v>
      </c>
      <c r="D29" s="13">
        <f>C29*14.43*12</f>
        <v>993188.61719999998</v>
      </c>
      <c r="E29" s="13">
        <f>C29*1.42*12</f>
        <v>97735.816800000001</v>
      </c>
    </row>
    <row r="30" spans="2:5" ht="14.45" customHeight="1">
      <c r="B30" s="12" t="s">
        <v>154</v>
      </c>
      <c r="C30" s="16">
        <v>5729.8</v>
      </c>
      <c r="D30" s="13">
        <f>C30*14.43*12</f>
        <v>992172.16799999995</v>
      </c>
      <c r="E30" s="13">
        <f>C30*1.42*12</f>
        <v>97635.792000000001</v>
      </c>
    </row>
    <row r="31" spans="2:5" ht="14.45" customHeight="1">
      <c r="B31" s="12" t="s">
        <v>155</v>
      </c>
      <c r="C31" s="16">
        <v>10517.9</v>
      </c>
      <c r="D31" s="13">
        <f>C31*14.43*12</f>
        <v>1821279.5639999998</v>
      </c>
      <c r="E31" s="13">
        <f>C31*1.42*12</f>
        <v>179225.01599999997</v>
      </c>
    </row>
    <row r="32" spans="2:5" ht="14.45" customHeight="1">
      <c r="B32" s="12" t="s">
        <v>156</v>
      </c>
      <c r="C32" s="16">
        <v>6418.4</v>
      </c>
      <c r="D32" s="13">
        <f>C32*16.86*12</f>
        <v>1298570.6879999998</v>
      </c>
      <c r="E32" s="13">
        <f>C32*1.75*12</f>
        <v>134786.4</v>
      </c>
    </row>
    <row r="33" spans="2:5" ht="14.45" customHeight="1">
      <c r="B33" s="12" t="s">
        <v>157</v>
      </c>
      <c r="C33" s="16">
        <v>6220.97</v>
      </c>
      <c r="D33" s="13">
        <f>C33*16.86*12</f>
        <v>1258626.6503999999</v>
      </c>
      <c r="E33" s="13">
        <f>C33*1.75*12</f>
        <v>130640.37</v>
      </c>
    </row>
    <row r="34" spans="2:5" ht="14.45" customHeight="1">
      <c r="B34" s="12" t="s">
        <v>158</v>
      </c>
      <c r="C34" s="16">
        <v>3781.1</v>
      </c>
      <c r="D34" s="13">
        <f>C34*14.43*12</f>
        <v>654735.27600000007</v>
      </c>
      <c r="E34" s="13">
        <f>C34*1.42*12</f>
        <v>64429.943999999989</v>
      </c>
    </row>
    <row r="35" spans="2:5" ht="14.45" customHeight="1">
      <c r="B35" s="12" t="s">
        <v>159</v>
      </c>
      <c r="C35" s="16">
        <v>3639.3</v>
      </c>
      <c r="D35" s="13">
        <f>C35*12.25*12</f>
        <v>534977.10000000009</v>
      </c>
      <c r="E35" s="13">
        <f>C35*1.15*12</f>
        <v>50222.34</v>
      </c>
    </row>
    <row r="36" spans="2:5" ht="14.45" customHeight="1">
      <c r="B36" s="12" t="s">
        <v>160</v>
      </c>
      <c r="C36" s="16">
        <v>5477.19</v>
      </c>
      <c r="D36" s="13">
        <f>C36*14.43*12</f>
        <v>948430.22039999999</v>
      </c>
      <c r="E36" s="13">
        <f>C36*1.42*12</f>
        <v>93331.317599999995</v>
      </c>
    </row>
    <row r="37" spans="2:5" ht="14.45" customHeight="1">
      <c r="B37" s="12" t="s">
        <v>161</v>
      </c>
      <c r="C37" s="16">
        <v>7282.2</v>
      </c>
      <c r="D37" s="13">
        <f t="shared" ref="D37:D44" si="0">C37*14.43*12</f>
        <v>1260985.7519999999</v>
      </c>
      <c r="E37" s="13">
        <f t="shared" ref="E37:E45" si="1">C37*1.42*12</f>
        <v>124088.68799999998</v>
      </c>
    </row>
    <row r="38" spans="2:5" ht="14.45" customHeight="1">
      <c r="B38" s="12" t="s">
        <v>162</v>
      </c>
      <c r="C38" s="16">
        <v>11394.7</v>
      </c>
      <c r="D38" s="13">
        <f t="shared" si="0"/>
        <v>1973106.2520000001</v>
      </c>
      <c r="E38" s="13">
        <f t="shared" si="1"/>
        <v>194165.68799999999</v>
      </c>
    </row>
    <row r="39" spans="2:5" ht="14.45" customHeight="1">
      <c r="B39" s="12" t="s">
        <v>163</v>
      </c>
      <c r="C39" s="16">
        <v>5335.74</v>
      </c>
      <c r="D39" s="13">
        <f t="shared" si="0"/>
        <v>923936.73839999991</v>
      </c>
      <c r="E39" s="13">
        <f t="shared" si="1"/>
        <v>90921.00959999999</v>
      </c>
    </row>
    <row r="40" spans="2:5" ht="14.45" customHeight="1">
      <c r="B40" s="12" t="s">
        <v>164</v>
      </c>
      <c r="C40" s="16">
        <v>5263.89</v>
      </c>
      <c r="D40" s="13">
        <f t="shared" si="0"/>
        <v>911495.19240000006</v>
      </c>
      <c r="E40" s="13">
        <f t="shared" si="1"/>
        <v>89696.685599999997</v>
      </c>
    </row>
    <row r="41" spans="2:5" ht="14.45" customHeight="1">
      <c r="B41" s="12" t="s">
        <v>165</v>
      </c>
      <c r="C41" s="16">
        <v>5258.32</v>
      </c>
      <c r="D41" s="13">
        <f t="shared" si="0"/>
        <v>910530.6912</v>
      </c>
      <c r="E41" s="13">
        <f t="shared" si="1"/>
        <v>89601.772799999992</v>
      </c>
    </row>
    <row r="42" spans="2:5" ht="14.45" customHeight="1">
      <c r="B42" s="12" t="s">
        <v>166</v>
      </c>
      <c r="C42" s="16">
        <v>4910.4399999999996</v>
      </c>
      <c r="D42" s="13">
        <f t="shared" si="0"/>
        <v>850291.79040000006</v>
      </c>
      <c r="E42" s="13">
        <f t="shared" si="1"/>
        <v>83673.897599999997</v>
      </c>
    </row>
    <row r="43" spans="2:5" ht="14.45" customHeight="1">
      <c r="B43" s="12" t="s">
        <v>167</v>
      </c>
      <c r="C43" s="16">
        <v>4934.1400000000003</v>
      </c>
      <c r="D43" s="13">
        <f t="shared" si="0"/>
        <v>854395.68240000005</v>
      </c>
      <c r="E43" s="13">
        <f t="shared" si="1"/>
        <v>84077.745599999995</v>
      </c>
    </row>
    <row r="44" spans="2:5" ht="14.45" customHeight="1">
      <c r="B44" s="12" t="s">
        <v>168</v>
      </c>
      <c r="C44" s="16">
        <v>5196.75</v>
      </c>
      <c r="D44" s="13">
        <f t="shared" si="0"/>
        <v>899869.23</v>
      </c>
      <c r="E44" s="13">
        <f t="shared" si="1"/>
        <v>88552.62</v>
      </c>
    </row>
    <row r="45" spans="2:5" ht="14.45" customHeight="1">
      <c r="B45" s="12" t="s">
        <v>169</v>
      </c>
      <c r="C45" s="16">
        <v>5407.2</v>
      </c>
      <c r="D45" s="13">
        <f>C45*14.43*12</f>
        <v>936310.75199999986</v>
      </c>
      <c r="E45" s="13">
        <f t="shared" si="1"/>
        <v>92138.687999999995</v>
      </c>
    </row>
    <row r="46" spans="2:5">
      <c r="C46" s="18">
        <f>SUM(C18:C45)</f>
        <v>167211.08000000005</v>
      </c>
    </row>
  </sheetData>
  <sheetProtection password="CC5F" sheet="1" objects="1" scenarios="1" selectLockedCells="1" selectUnlockedCells="1"/>
  <phoneticPr fontId="1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00"/>
  <sheetViews>
    <sheetView view="pageBreakPreview" topLeftCell="A34" zoomScaleSheetLayoutView="100" workbookViewId="0">
      <selection activeCell="G92" sqref="G92"/>
    </sheetView>
  </sheetViews>
  <sheetFormatPr defaultRowHeight="12.75"/>
  <cols>
    <col min="1" max="1" width="12" style="140" customWidth="1"/>
    <col min="2" max="2" width="12.140625" style="140" customWidth="1"/>
    <col min="3" max="3" width="11.28515625" style="140" customWidth="1"/>
    <col min="4" max="4" width="12.5703125" style="140" customWidth="1"/>
    <col min="5" max="5" width="15.28515625" style="140" customWidth="1"/>
    <col min="6" max="6" width="15" style="140" customWidth="1"/>
    <col min="7" max="7" width="21.42578125" style="140" customWidth="1"/>
    <col min="8" max="8" width="14.140625" style="140" customWidth="1"/>
    <col min="9" max="9" width="10.5703125" style="140" customWidth="1"/>
    <col min="10" max="11" width="9.140625" style="140"/>
    <col min="12" max="12" width="0.5703125" style="140" customWidth="1"/>
    <col min="13" max="14" width="9.140625" style="140"/>
    <col min="15" max="15" width="1.42578125" style="140" customWidth="1"/>
    <col min="16" max="16384" width="9.140625" style="140"/>
  </cols>
  <sheetData>
    <row r="1" spans="1:15" ht="18">
      <c r="A1" s="241" t="s">
        <v>235</v>
      </c>
      <c r="B1" s="241"/>
      <c r="C1" s="241"/>
      <c r="D1" s="241"/>
      <c r="E1" s="241"/>
      <c r="F1" s="241"/>
      <c r="G1" s="241"/>
      <c r="H1" s="241"/>
      <c r="I1" s="62"/>
      <c r="J1" s="62"/>
      <c r="K1" s="62"/>
      <c r="L1" s="62"/>
      <c r="M1" s="62"/>
      <c r="N1" s="62"/>
      <c r="O1" s="62"/>
    </row>
    <row r="2" spans="1:15" ht="18">
      <c r="A2" s="241" t="s">
        <v>236</v>
      </c>
      <c r="B2" s="241"/>
      <c r="C2" s="241"/>
      <c r="D2" s="241"/>
      <c r="E2" s="241"/>
      <c r="F2" s="241"/>
      <c r="G2" s="241"/>
      <c r="H2" s="241"/>
      <c r="I2" s="62"/>
      <c r="J2" s="62"/>
      <c r="K2" s="62"/>
      <c r="L2" s="62"/>
      <c r="M2" s="62"/>
      <c r="N2" s="62"/>
      <c r="O2" s="62"/>
    </row>
    <row r="3" spans="1:15" ht="18">
      <c r="A3" s="194" t="s">
        <v>58</v>
      </c>
      <c r="B3" s="194"/>
      <c r="C3" s="194"/>
      <c r="D3" s="194"/>
      <c r="E3" s="194"/>
      <c r="F3" s="194"/>
      <c r="G3" s="194"/>
      <c r="H3" s="194"/>
      <c r="I3" s="63"/>
      <c r="J3" s="63"/>
      <c r="K3" s="63"/>
      <c r="L3" s="63"/>
      <c r="M3" s="63"/>
      <c r="N3" s="63"/>
      <c r="O3" s="63"/>
    </row>
    <row r="4" spans="1:15" ht="18">
      <c r="A4" s="63"/>
      <c r="B4" s="63"/>
      <c r="C4" s="63"/>
      <c r="D4" s="63"/>
      <c r="E4" s="63"/>
      <c r="F4" s="63"/>
      <c r="G4" s="63"/>
      <c r="H4" s="63"/>
      <c r="I4" s="63"/>
      <c r="J4" s="64"/>
      <c r="K4" s="64"/>
      <c r="L4" s="64"/>
      <c r="M4" s="64"/>
      <c r="N4" s="64"/>
      <c r="O4" s="64"/>
    </row>
    <row r="5" spans="1:15" s="67" customFormat="1" ht="14.25" customHeight="1">
      <c r="A5" s="65" t="s">
        <v>170</v>
      </c>
      <c r="B5" s="65"/>
      <c r="C5" s="65"/>
      <c r="D5" s="65"/>
      <c r="E5" s="196" t="s">
        <v>59</v>
      </c>
      <c r="F5" s="196"/>
      <c r="G5" s="196"/>
      <c r="H5" s="196"/>
      <c r="I5" s="66"/>
    </row>
    <row r="6" spans="1:15" s="67" customFormat="1" ht="14.25">
      <c r="A6" s="65" t="s">
        <v>96</v>
      </c>
      <c r="B6" s="65"/>
      <c r="C6" s="65"/>
      <c r="D6" s="65"/>
      <c r="E6" s="196"/>
      <c r="F6" s="196"/>
      <c r="G6" s="196"/>
      <c r="H6" s="196"/>
      <c r="I6" s="66"/>
    </row>
    <row r="7" spans="1:15" s="67" customFormat="1" ht="27" customHeight="1">
      <c r="A7" s="65" t="s">
        <v>250</v>
      </c>
      <c r="B7" s="65"/>
      <c r="C7" s="65"/>
      <c r="D7" s="65"/>
      <c r="E7" s="196"/>
      <c r="F7" s="196"/>
      <c r="G7" s="196"/>
      <c r="H7" s="196"/>
      <c r="I7" s="66"/>
    </row>
    <row r="8" spans="1:15" s="67" customFormat="1" ht="14.25">
      <c r="A8" s="65" t="s">
        <v>29</v>
      </c>
      <c r="B8" s="65"/>
      <c r="C8" s="65"/>
      <c r="D8" s="65"/>
      <c r="E8" s="66"/>
      <c r="F8" s="66"/>
      <c r="G8" s="66"/>
      <c r="H8" s="66"/>
      <c r="I8" s="68"/>
    </row>
    <row r="9" spans="1:15" s="67" customFormat="1" ht="14.25">
      <c r="A9" s="65" t="s">
        <v>97</v>
      </c>
      <c r="B9" s="65"/>
      <c r="C9" s="65"/>
      <c r="D9" s="65"/>
      <c r="E9" s="68" t="s">
        <v>211</v>
      </c>
      <c r="F9" s="66"/>
      <c r="G9" s="66"/>
      <c r="H9" s="66"/>
      <c r="I9" s="66"/>
    </row>
    <row r="10" spans="1:15" s="67" customFormat="1" ht="14.25">
      <c r="A10" s="65" t="s">
        <v>119</v>
      </c>
      <c r="B10" s="65"/>
      <c r="C10" s="65"/>
      <c r="D10" s="65"/>
      <c r="F10" s="68"/>
      <c r="G10" s="68"/>
      <c r="H10" s="68"/>
      <c r="I10" s="68"/>
    </row>
    <row r="11" spans="1:15" s="67" customFormat="1" ht="14.25">
      <c r="A11" s="65" t="s">
        <v>171</v>
      </c>
      <c r="B11" s="65"/>
      <c r="C11" s="65"/>
      <c r="D11" s="65"/>
      <c r="E11" s="65" t="s">
        <v>212</v>
      </c>
      <c r="F11" s="65"/>
      <c r="G11" s="65" t="s">
        <v>60</v>
      </c>
      <c r="I11" s="65"/>
    </row>
    <row r="12" spans="1:15" s="67" customFormat="1" ht="14.25">
      <c r="A12" s="65" t="s">
        <v>172</v>
      </c>
      <c r="B12" s="65"/>
      <c r="C12" s="65"/>
      <c r="D12" s="65"/>
      <c r="E12" s="65" t="s">
        <v>213</v>
      </c>
      <c r="F12" s="65"/>
      <c r="G12" s="65" t="s">
        <v>251</v>
      </c>
      <c r="I12" s="65"/>
    </row>
    <row r="13" spans="1:15" s="67" customFormat="1" ht="14.25">
      <c r="A13" s="65" t="s">
        <v>173</v>
      </c>
      <c r="B13" s="65"/>
      <c r="C13" s="65"/>
      <c r="D13" s="65"/>
      <c r="E13" s="65" t="s">
        <v>214</v>
      </c>
      <c r="F13" s="65"/>
      <c r="G13" s="65" t="s">
        <v>27</v>
      </c>
      <c r="I13" s="65"/>
    </row>
    <row r="14" spans="1:15" s="67" customFormat="1" ht="14.25">
      <c r="A14" s="65" t="s">
        <v>174</v>
      </c>
      <c r="B14" s="65"/>
      <c r="C14" s="65"/>
      <c r="D14" s="65"/>
      <c r="E14" s="65" t="s">
        <v>215</v>
      </c>
      <c r="F14" s="65"/>
      <c r="G14" s="65" t="s">
        <v>216</v>
      </c>
      <c r="I14" s="65"/>
    </row>
    <row r="15" spans="1:15" s="67" customFormat="1" ht="14.25">
      <c r="A15" s="65" t="s">
        <v>175</v>
      </c>
      <c r="B15" s="65"/>
      <c r="C15" s="65"/>
      <c r="D15" s="65"/>
      <c r="E15" s="65" t="s">
        <v>217</v>
      </c>
      <c r="F15" s="65"/>
      <c r="G15" s="65" t="s">
        <v>61</v>
      </c>
      <c r="I15" s="65"/>
    </row>
    <row r="16" spans="1:15" s="67" customFormat="1" ht="14.25">
      <c r="A16" s="65"/>
      <c r="B16" s="65"/>
      <c r="C16" s="65"/>
      <c r="D16" s="65"/>
      <c r="E16" s="65"/>
      <c r="F16" s="65"/>
      <c r="G16" s="65"/>
      <c r="H16" s="65"/>
      <c r="I16" s="65"/>
    </row>
    <row r="17" spans="1:15" ht="29.25" customHeight="1">
      <c r="A17" s="185" t="s">
        <v>62</v>
      </c>
      <c r="B17" s="185"/>
      <c r="C17" s="185"/>
      <c r="D17" s="185"/>
      <c r="E17" s="185"/>
      <c r="F17" s="185"/>
      <c r="G17" s="185"/>
      <c r="H17" s="185"/>
      <c r="I17" s="66"/>
      <c r="J17" s="72"/>
      <c r="K17" s="72"/>
      <c r="L17" s="72"/>
      <c r="M17" s="72"/>
      <c r="N17" s="72"/>
      <c r="O17" s="72"/>
    </row>
    <row r="18" spans="1:15" ht="15.75">
      <c r="A18" s="73"/>
      <c r="B18" s="73"/>
      <c r="C18" s="73"/>
      <c r="D18" s="73"/>
      <c r="E18" s="73"/>
      <c r="F18" s="73"/>
      <c r="G18" s="73"/>
      <c r="H18" s="73"/>
      <c r="I18" s="167"/>
      <c r="J18" s="72"/>
      <c r="K18" s="72"/>
      <c r="L18" s="72"/>
      <c r="M18" s="72"/>
      <c r="N18" s="72"/>
      <c r="O18" s="72"/>
    </row>
    <row r="19" spans="1:15" ht="15.75">
      <c r="A19" s="188" t="s">
        <v>63</v>
      </c>
      <c r="B19" s="188"/>
      <c r="C19" s="188"/>
      <c r="D19" s="188"/>
      <c r="E19" s="188"/>
      <c r="F19" s="188"/>
      <c r="G19" s="188"/>
      <c r="H19" s="188"/>
      <c r="I19" s="86"/>
      <c r="J19" s="74"/>
      <c r="K19" s="74"/>
      <c r="L19" s="74"/>
      <c r="M19" s="74"/>
      <c r="N19" s="74"/>
      <c r="O19" s="74"/>
    </row>
    <row r="20" spans="1:15" ht="15.75">
      <c r="A20" s="75"/>
      <c r="B20" s="224"/>
      <c r="C20" s="224"/>
      <c r="D20" s="224"/>
      <c r="E20" s="224"/>
      <c r="F20" s="224"/>
      <c r="G20" s="75"/>
      <c r="H20" s="76" t="s">
        <v>218</v>
      </c>
      <c r="I20" s="145"/>
      <c r="J20" s="72"/>
      <c r="L20" s="72"/>
      <c r="M20" s="72"/>
      <c r="N20" s="77"/>
    </row>
    <row r="21" spans="1:15" s="67" customFormat="1" ht="15" customHeight="1">
      <c r="A21" s="225" t="s">
        <v>219</v>
      </c>
      <c r="B21" s="235"/>
      <c r="C21" s="238" t="s">
        <v>253</v>
      </c>
      <c r="D21" s="238" t="s">
        <v>220</v>
      </c>
      <c r="E21" s="243" t="s">
        <v>10</v>
      </c>
      <c r="F21" s="225" t="s">
        <v>252</v>
      </c>
      <c r="G21" s="209" t="s">
        <v>221</v>
      </c>
      <c r="H21" s="195" t="s">
        <v>222</v>
      </c>
      <c r="I21" s="78"/>
    </row>
    <row r="22" spans="1:15" s="67" customFormat="1" ht="15" customHeight="1">
      <c r="A22" s="226"/>
      <c r="B22" s="236"/>
      <c r="C22" s="239"/>
      <c r="D22" s="239"/>
      <c r="E22" s="244"/>
      <c r="F22" s="226"/>
      <c r="G22" s="210"/>
      <c r="H22" s="195"/>
      <c r="I22" s="78"/>
    </row>
    <row r="23" spans="1:15" s="67" customFormat="1" ht="75" customHeight="1">
      <c r="A23" s="227"/>
      <c r="B23" s="237"/>
      <c r="C23" s="240"/>
      <c r="D23" s="240"/>
      <c r="E23" s="245"/>
      <c r="F23" s="227"/>
      <c r="G23" s="211"/>
      <c r="H23" s="195"/>
      <c r="I23" s="78"/>
    </row>
    <row r="24" spans="1:15" s="175" customFormat="1" ht="14.25">
      <c r="A24" s="246">
        <v>121229</v>
      </c>
      <c r="B24" s="247"/>
      <c r="C24" s="144">
        <v>181434.93</v>
      </c>
      <c r="D24" s="141">
        <v>167375.43</v>
      </c>
      <c r="E24" s="141">
        <v>51166.080000000002</v>
      </c>
      <c r="F24" s="144">
        <f>C24-D24</f>
        <v>14059.5</v>
      </c>
      <c r="G24" s="143">
        <v>187954</v>
      </c>
      <c r="H24" s="144">
        <f>A24+D24+E24-G24</f>
        <v>151816.51</v>
      </c>
      <c r="I24" s="79"/>
    </row>
    <row r="25" spans="1:15" ht="15">
      <c r="A25" s="75"/>
      <c r="B25" s="75"/>
      <c r="C25" s="75"/>
      <c r="D25" s="75"/>
      <c r="E25" s="75"/>
      <c r="F25" s="75"/>
      <c r="G25" s="75"/>
      <c r="H25" s="75"/>
      <c r="I25" s="112"/>
      <c r="J25" s="72"/>
      <c r="K25" s="72"/>
      <c r="L25" s="72"/>
      <c r="M25" s="72"/>
      <c r="N25" s="72"/>
      <c r="O25" s="72"/>
    </row>
    <row r="26" spans="1:15" ht="14.25">
      <c r="A26" s="65" t="s">
        <v>64</v>
      </c>
      <c r="B26" s="65"/>
      <c r="C26" s="65"/>
      <c r="D26" s="65"/>
      <c r="E26" s="65"/>
      <c r="F26" s="65"/>
      <c r="G26" s="84"/>
      <c r="H26" s="84"/>
      <c r="I26" s="128"/>
      <c r="J26" s="67"/>
      <c r="K26" s="67"/>
      <c r="L26" s="67"/>
      <c r="M26" s="67"/>
      <c r="N26" s="67"/>
      <c r="O26" s="67"/>
    </row>
    <row r="27" spans="1:15" ht="14.25">
      <c r="A27" s="65" t="s">
        <v>255</v>
      </c>
      <c r="B27" s="65"/>
      <c r="C27" s="65"/>
      <c r="D27" s="65"/>
      <c r="E27" s="65"/>
      <c r="F27" s="65"/>
      <c r="G27" s="84"/>
      <c r="H27" s="84"/>
      <c r="I27" s="65"/>
      <c r="J27" s="67"/>
      <c r="K27" s="67"/>
      <c r="L27" s="67"/>
      <c r="M27" s="67"/>
      <c r="N27" s="67"/>
      <c r="O27" s="67"/>
    </row>
    <row r="28" spans="1:15" ht="15" customHeight="1">
      <c r="A28" s="185" t="s">
        <v>248</v>
      </c>
      <c r="B28" s="185"/>
      <c r="C28" s="185"/>
      <c r="D28" s="185"/>
      <c r="E28" s="185"/>
      <c r="F28" s="185"/>
      <c r="G28" s="185"/>
      <c r="H28" s="66"/>
      <c r="I28" s="66"/>
      <c r="J28" s="66"/>
      <c r="K28" s="66"/>
      <c r="L28" s="66"/>
      <c r="M28" s="66"/>
      <c r="N28" s="66"/>
      <c r="O28" s="66"/>
    </row>
    <row r="29" spans="1:15" ht="14.25">
      <c r="A29" s="65" t="s">
        <v>249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</row>
    <row r="30" spans="1:15" ht="15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</row>
    <row r="31" spans="1:15" s="145" customFormat="1" ht="15.75">
      <c r="A31" s="184" t="s">
        <v>223</v>
      </c>
      <c r="B31" s="184"/>
      <c r="C31" s="184"/>
      <c r="D31" s="184"/>
      <c r="E31" s="184"/>
      <c r="F31" s="184"/>
      <c r="G31" s="184"/>
      <c r="H31" s="184"/>
      <c r="I31" s="86"/>
    </row>
    <row r="32" spans="1:15" s="145" customFormat="1">
      <c r="A32" s="87"/>
      <c r="B32" s="146"/>
      <c r="C32" s="248"/>
      <c r="D32" s="248"/>
      <c r="E32" s="249"/>
      <c r="F32" s="249"/>
      <c r="G32" s="146"/>
      <c r="H32" s="88" t="s">
        <v>224</v>
      </c>
    </row>
    <row r="33" spans="1:11" s="145" customFormat="1" ht="15.75">
      <c r="A33" s="190" t="s">
        <v>112</v>
      </c>
      <c r="B33" s="191"/>
      <c r="C33" s="218" t="s">
        <v>47</v>
      </c>
      <c r="D33" s="219"/>
      <c r="E33" s="219"/>
      <c r="F33" s="219"/>
      <c r="G33" s="220"/>
      <c r="H33" s="89" t="s">
        <v>225</v>
      </c>
    </row>
    <row r="34" spans="1:11" s="145" customFormat="1" ht="15" customHeight="1">
      <c r="A34" s="223" t="s">
        <v>237</v>
      </c>
      <c r="B34" s="223"/>
      <c r="C34" s="114" t="s">
        <v>254</v>
      </c>
      <c r="D34" s="91"/>
      <c r="E34" s="91"/>
      <c r="F34" s="91"/>
      <c r="G34" s="91"/>
      <c r="H34" s="102">
        <f>9475</f>
        <v>9475</v>
      </c>
    </row>
    <row r="35" spans="1:11" s="145" customFormat="1" ht="15" customHeight="1">
      <c r="A35" s="223"/>
      <c r="B35" s="223"/>
      <c r="C35" s="114" t="s">
        <v>85</v>
      </c>
      <c r="D35" s="91"/>
      <c r="E35" s="91"/>
      <c r="F35" s="91"/>
      <c r="G35" s="91"/>
      <c r="H35" s="102">
        <f>4866</f>
        <v>4866</v>
      </c>
    </row>
    <row r="36" spans="1:11" s="145" customFormat="1" ht="15" customHeight="1">
      <c r="A36" s="223"/>
      <c r="B36" s="223"/>
      <c r="C36" s="114" t="s">
        <v>90</v>
      </c>
      <c r="D36" s="91"/>
      <c r="E36" s="91"/>
      <c r="F36" s="91"/>
      <c r="G36" s="91"/>
      <c r="H36" s="102">
        <f>49313</f>
        <v>49313</v>
      </c>
      <c r="J36" s="150"/>
    </row>
    <row r="37" spans="1:11" s="145" customFormat="1" ht="15" customHeight="1">
      <c r="A37" s="223"/>
      <c r="B37" s="223"/>
      <c r="C37" s="200" t="s">
        <v>36</v>
      </c>
      <c r="D37" s="201"/>
      <c r="E37" s="201"/>
      <c r="F37" s="201"/>
      <c r="G37" s="202"/>
      <c r="H37" s="102">
        <f>48256</f>
        <v>48256</v>
      </c>
    </row>
    <row r="38" spans="1:11" s="145" customFormat="1" ht="15" customHeight="1">
      <c r="A38" s="223"/>
      <c r="B38" s="223"/>
      <c r="C38" s="155" t="s">
        <v>88</v>
      </c>
      <c r="D38" s="91"/>
      <c r="E38" s="91"/>
      <c r="F38" s="91"/>
      <c r="G38" s="91"/>
      <c r="H38" s="102">
        <f>75269+775</f>
        <v>76044</v>
      </c>
    </row>
    <row r="39" spans="1:11" s="145" customFormat="1" ht="15" customHeight="1">
      <c r="A39" s="223"/>
      <c r="B39" s="223"/>
      <c r="C39" s="114"/>
      <c r="D39" s="91"/>
      <c r="E39" s="91"/>
      <c r="F39" s="91"/>
      <c r="G39" s="91"/>
      <c r="H39" s="94">
        <f>SUM(H34:H38)</f>
        <v>187954</v>
      </c>
      <c r="K39" s="147"/>
    </row>
    <row r="40" spans="1:11" s="145" customFormat="1" ht="12.75" customHeight="1">
      <c r="A40" s="223"/>
      <c r="B40" s="223"/>
      <c r="C40" s="190" t="s">
        <v>48</v>
      </c>
      <c r="D40" s="191"/>
      <c r="E40" s="191"/>
      <c r="F40" s="191"/>
      <c r="G40" s="192"/>
      <c r="H40" s="176"/>
    </row>
    <row r="41" spans="1:11" s="145" customFormat="1" ht="12.75" customHeight="1">
      <c r="A41" s="223"/>
      <c r="B41" s="223"/>
      <c r="C41" s="200" t="s">
        <v>36</v>
      </c>
      <c r="D41" s="201"/>
      <c r="E41" s="201"/>
      <c r="F41" s="201"/>
      <c r="G41" s="202"/>
      <c r="H41" s="102">
        <f>22400</f>
        <v>22400</v>
      </c>
    </row>
    <row r="42" spans="1:11" s="145" customFormat="1" ht="12.75" customHeight="1">
      <c r="A42" s="223"/>
      <c r="B42" s="223"/>
      <c r="C42" s="155" t="s">
        <v>87</v>
      </c>
      <c r="D42" s="156"/>
      <c r="E42" s="156"/>
      <c r="F42" s="156"/>
      <c r="G42" s="156"/>
      <c r="H42" s="102">
        <f>4500</f>
        <v>4500</v>
      </c>
    </row>
    <row r="43" spans="1:11" s="145" customFormat="1" ht="12.75" customHeight="1">
      <c r="A43" s="223"/>
      <c r="B43" s="223"/>
      <c r="C43" s="155" t="s">
        <v>88</v>
      </c>
      <c r="D43" s="156"/>
      <c r="E43" s="156"/>
      <c r="F43" s="156"/>
      <c r="G43" s="156"/>
      <c r="H43" s="102">
        <f>49000</f>
        <v>49000</v>
      </c>
    </row>
    <row r="44" spans="1:11" s="145" customFormat="1" ht="12.75" customHeight="1">
      <c r="A44" s="223"/>
      <c r="B44" s="223"/>
      <c r="C44" s="155" t="s">
        <v>38</v>
      </c>
      <c r="D44" s="156"/>
      <c r="E44" s="156"/>
      <c r="F44" s="156"/>
      <c r="G44" s="156"/>
      <c r="H44" s="102">
        <f>1731</f>
        <v>1731</v>
      </c>
    </row>
    <row r="45" spans="1:11" s="145" customFormat="1" ht="12.75" customHeight="1">
      <c r="A45" s="223"/>
      <c r="B45" s="223"/>
      <c r="C45" s="114" t="s">
        <v>254</v>
      </c>
      <c r="D45" s="91"/>
      <c r="E45" s="91"/>
      <c r="F45" s="91"/>
      <c r="G45" s="91"/>
      <c r="H45" s="102">
        <f>37805+20699</f>
        <v>58504</v>
      </c>
    </row>
    <row r="46" spans="1:11">
      <c r="A46" s="95"/>
      <c r="B46" s="95"/>
      <c r="C46" s="95"/>
      <c r="D46" s="95"/>
      <c r="E46" s="96"/>
      <c r="F46" s="96"/>
      <c r="G46" s="96"/>
      <c r="H46" s="96"/>
      <c r="I46" s="96"/>
    </row>
    <row r="47" spans="1:11" ht="42.75" customHeight="1">
      <c r="A47" s="185" t="s">
        <v>67</v>
      </c>
      <c r="B47" s="185"/>
      <c r="C47" s="185"/>
      <c r="D47" s="185"/>
      <c r="E47" s="185"/>
      <c r="F47" s="185"/>
      <c r="G47" s="185"/>
      <c r="H47" s="185"/>
      <c r="I47" s="66"/>
    </row>
    <row r="48" spans="1:11">
      <c r="A48" s="95"/>
      <c r="B48" s="95"/>
      <c r="C48" s="95"/>
      <c r="D48" s="95"/>
      <c r="E48" s="96"/>
      <c r="F48" s="96"/>
      <c r="G48" s="96"/>
      <c r="H48" s="96"/>
      <c r="I48" s="96"/>
    </row>
    <row r="49" spans="1:15" ht="33" customHeight="1">
      <c r="A49" s="186" t="s">
        <v>49</v>
      </c>
      <c r="B49" s="186"/>
      <c r="C49" s="186"/>
      <c r="D49" s="186"/>
      <c r="E49" s="186"/>
      <c r="F49" s="186"/>
      <c r="G49" s="186"/>
      <c r="H49" s="186"/>
      <c r="I49" s="97"/>
      <c r="J49" s="74"/>
      <c r="K49" s="74"/>
      <c r="L49" s="74"/>
      <c r="M49" s="74"/>
      <c r="N49" s="74"/>
      <c r="O49" s="74"/>
    </row>
    <row r="50" spans="1:15" ht="15">
      <c r="A50" s="98"/>
      <c r="B50" s="98"/>
      <c r="C50" s="98"/>
      <c r="D50" s="98"/>
      <c r="E50" s="98"/>
      <c r="F50" s="98"/>
      <c r="G50" s="98"/>
      <c r="H50" s="99" t="s">
        <v>227</v>
      </c>
      <c r="L50" s="98"/>
      <c r="M50" s="98"/>
      <c r="N50" s="98"/>
      <c r="O50" s="98"/>
    </row>
    <row r="51" spans="1:15" ht="15.75">
      <c r="A51" s="216" t="s">
        <v>112</v>
      </c>
      <c r="B51" s="217"/>
      <c r="C51" s="218" t="s">
        <v>47</v>
      </c>
      <c r="D51" s="219"/>
      <c r="E51" s="219"/>
      <c r="F51" s="219"/>
      <c r="G51" s="220"/>
      <c r="H51" s="89" t="s">
        <v>225</v>
      </c>
      <c r="I51" s="98"/>
      <c r="J51" s="98"/>
      <c r="K51" s="98"/>
    </row>
    <row r="52" spans="1:15" ht="15" customHeight="1">
      <c r="A52" s="203" t="s">
        <v>237</v>
      </c>
      <c r="B52" s="204"/>
      <c r="C52" s="91" t="s">
        <v>134</v>
      </c>
      <c r="D52" s="100"/>
      <c r="E52" s="100"/>
      <c r="F52" s="100"/>
      <c r="G52" s="101"/>
      <c r="H52" s="102">
        <f>H73</f>
        <v>13659.087864454696</v>
      </c>
      <c r="I52" s="98"/>
      <c r="J52" s="98"/>
      <c r="K52" s="98"/>
    </row>
    <row r="53" spans="1:15" ht="15" customHeight="1">
      <c r="A53" s="205"/>
      <c r="B53" s="206"/>
      <c r="C53" s="67" t="s">
        <v>35</v>
      </c>
      <c r="D53" s="100"/>
      <c r="E53" s="100"/>
      <c r="F53" s="100"/>
      <c r="G53" s="101"/>
      <c r="H53" s="102">
        <f>692+692</f>
        <v>1384</v>
      </c>
      <c r="I53" s="98"/>
      <c r="J53" s="98"/>
      <c r="K53" s="98"/>
    </row>
    <row r="54" spans="1:15" ht="15" customHeight="1">
      <c r="A54" s="205"/>
      <c r="B54" s="206"/>
      <c r="C54" s="197" t="s">
        <v>42</v>
      </c>
      <c r="D54" s="198"/>
      <c r="E54" s="198"/>
      <c r="F54" s="198"/>
      <c r="G54" s="199"/>
      <c r="H54" s="102">
        <f>1943</f>
        <v>1943</v>
      </c>
      <c r="I54" s="98"/>
      <c r="J54" s="98"/>
      <c r="K54" s="98"/>
    </row>
    <row r="55" spans="1:15" ht="15" customHeight="1">
      <c r="A55" s="205"/>
      <c r="B55" s="206"/>
      <c r="C55" s="190" t="s">
        <v>48</v>
      </c>
      <c r="D55" s="191"/>
      <c r="E55" s="191"/>
      <c r="F55" s="191"/>
      <c r="G55" s="192"/>
      <c r="H55" s="165"/>
      <c r="I55" s="98"/>
      <c r="J55" s="98"/>
      <c r="K55" s="98"/>
    </row>
    <row r="56" spans="1:15" ht="15" customHeight="1">
      <c r="A56" s="207"/>
      <c r="B56" s="208"/>
      <c r="C56" s="221" t="s">
        <v>228</v>
      </c>
      <c r="D56" s="221"/>
      <c r="E56" s="221"/>
      <c r="F56" s="221"/>
      <c r="G56" s="222"/>
      <c r="H56" s="102">
        <v>9688.52</v>
      </c>
      <c r="I56" s="98"/>
      <c r="J56" s="98"/>
      <c r="K56" s="98"/>
    </row>
    <row r="57" spans="1:15">
      <c r="A57" s="95"/>
      <c r="B57" s="95"/>
      <c r="C57" s="95"/>
      <c r="D57" s="95"/>
      <c r="E57" s="96"/>
      <c r="F57" s="96"/>
      <c r="G57" s="96"/>
      <c r="H57" s="96"/>
      <c r="I57" s="96"/>
    </row>
    <row r="58" spans="1:15">
      <c r="A58" s="212" t="s">
        <v>120</v>
      </c>
      <c r="B58" s="212"/>
      <c r="C58" s="212"/>
      <c r="D58" s="212"/>
      <c r="E58" s="212"/>
      <c r="F58" s="212"/>
      <c r="G58" s="212"/>
      <c r="H58" s="212"/>
      <c r="I58" s="212"/>
      <c r="J58" s="212"/>
      <c r="K58" s="212"/>
    </row>
    <row r="59" spans="1:15" ht="18" customHeight="1">
      <c r="A59" s="187" t="s">
        <v>53</v>
      </c>
      <c r="B59" s="187"/>
      <c r="C59" s="187"/>
      <c r="D59" s="187"/>
      <c r="E59" s="187"/>
      <c r="F59" s="187"/>
      <c r="G59" s="187"/>
      <c r="H59" s="187"/>
      <c r="I59" s="106"/>
    </row>
    <row r="60" spans="1:15" ht="12" customHeight="1">
      <c r="A60" s="106"/>
      <c r="B60" s="106"/>
      <c r="C60" s="106"/>
      <c r="D60" s="106"/>
      <c r="E60" s="106"/>
      <c r="F60" s="106"/>
      <c r="G60" s="106"/>
      <c r="H60" s="106"/>
      <c r="I60" s="106"/>
    </row>
    <row r="61" spans="1:15" ht="15.75">
      <c r="A61" s="188" t="s">
        <v>109</v>
      </c>
      <c r="B61" s="188"/>
      <c r="C61" s="188"/>
      <c r="D61" s="188"/>
      <c r="E61" s="188"/>
      <c r="F61" s="188"/>
      <c r="G61" s="188"/>
      <c r="H61" s="188"/>
      <c r="I61" s="74"/>
    </row>
    <row r="62" spans="1:15" ht="15.75">
      <c r="A62" s="107"/>
      <c r="B62" s="107"/>
      <c r="C62" s="107"/>
      <c r="D62" s="107"/>
      <c r="E62" s="107"/>
      <c r="F62" s="107"/>
      <c r="G62" s="107"/>
      <c r="H62" s="99" t="s">
        <v>229</v>
      </c>
    </row>
    <row r="63" spans="1:15" ht="15.75">
      <c r="A63" s="230" t="s">
        <v>110</v>
      </c>
      <c r="B63" s="230"/>
      <c r="C63" s="230"/>
      <c r="D63" s="230"/>
      <c r="E63" s="230"/>
      <c r="F63" s="230"/>
      <c r="G63" s="231"/>
      <c r="H63" s="108">
        <f>SUM(H71:H84)+H65+H70</f>
        <v>2018212.0095666405</v>
      </c>
      <c r="I63" s="109"/>
    </row>
    <row r="64" spans="1:15" ht="15">
      <c r="A64" s="110" t="s">
        <v>98</v>
      </c>
      <c r="B64" s="232" t="s">
        <v>99</v>
      </c>
      <c r="C64" s="233"/>
      <c r="D64" s="233"/>
      <c r="E64" s="233"/>
      <c r="F64" s="233"/>
      <c r="G64" s="234"/>
      <c r="H64" s="111" t="s">
        <v>100</v>
      </c>
      <c r="I64" s="112"/>
    </row>
    <row r="65" spans="1:17" ht="15">
      <c r="A65" s="113" t="s">
        <v>101</v>
      </c>
      <c r="B65" s="114" t="s">
        <v>102</v>
      </c>
      <c r="C65" s="91"/>
      <c r="D65" s="91"/>
      <c r="E65" s="91"/>
      <c r="F65" s="91"/>
      <c r="G65" s="91"/>
      <c r="H65" s="94">
        <f>SUM(H66:H69)</f>
        <v>114574.9952329712</v>
      </c>
      <c r="I65" s="105"/>
      <c r="J65" s="105"/>
    </row>
    <row r="66" spans="1:17" ht="15">
      <c r="A66" s="113"/>
      <c r="B66" s="114" t="s">
        <v>256</v>
      </c>
      <c r="C66" s="91"/>
      <c r="D66" s="91"/>
      <c r="E66" s="91"/>
      <c r="F66" s="91"/>
      <c r="G66" s="91"/>
      <c r="H66" s="102">
        <f>5853</f>
        <v>5853</v>
      </c>
      <c r="I66" s="112"/>
      <c r="J66" s="145"/>
    </row>
    <row r="67" spans="1:17" ht="15">
      <c r="A67" s="113"/>
      <c r="B67" s="114" t="s">
        <v>37</v>
      </c>
      <c r="C67" s="91"/>
      <c r="D67" s="91"/>
      <c r="E67" s="91"/>
      <c r="F67" s="91"/>
      <c r="G67" s="91"/>
      <c r="H67" s="152">
        <f>622</f>
        <v>622</v>
      </c>
      <c r="I67" s="75"/>
    </row>
    <row r="68" spans="1:17" ht="15">
      <c r="A68" s="113"/>
      <c r="B68" s="114" t="s">
        <v>13</v>
      </c>
      <c r="C68" s="91"/>
      <c r="D68" s="91"/>
      <c r="E68" s="91"/>
      <c r="F68" s="91"/>
      <c r="G68" s="91"/>
      <c r="H68" s="152">
        <f>748</f>
        <v>748</v>
      </c>
      <c r="I68" s="75"/>
    </row>
    <row r="69" spans="1:17" ht="48.75" customHeight="1">
      <c r="A69" s="113"/>
      <c r="B69" s="213" t="s">
        <v>16</v>
      </c>
      <c r="C69" s="214"/>
      <c r="D69" s="214"/>
      <c r="E69" s="214"/>
      <c r="F69" s="214"/>
      <c r="G69" s="214"/>
      <c r="H69" s="177">
        <f>Основное!$D$2*Основное!I32</f>
        <v>107351.9952329712</v>
      </c>
      <c r="I69" s="75"/>
      <c r="J69" s="174"/>
    </row>
    <row r="70" spans="1:17" ht="15">
      <c r="A70" s="113" t="s">
        <v>103</v>
      </c>
      <c r="B70" s="114" t="s">
        <v>140</v>
      </c>
      <c r="C70" s="91"/>
      <c r="D70" s="91"/>
      <c r="E70" s="91"/>
      <c r="F70" s="91"/>
      <c r="G70" s="91"/>
      <c r="H70" s="102">
        <f>Основное!$D$2*Основное!I33+H35+H38+H37+H36</f>
        <v>185241.78107548901</v>
      </c>
      <c r="I70" s="75"/>
    </row>
    <row r="71" spans="1:17" ht="15">
      <c r="A71" s="113" t="s">
        <v>276</v>
      </c>
      <c r="B71" s="61" t="s">
        <v>275</v>
      </c>
      <c r="C71" s="91"/>
      <c r="D71" s="91"/>
      <c r="E71" s="91"/>
      <c r="F71" s="91"/>
      <c r="G71" s="91"/>
      <c r="H71" s="102">
        <f>Основное!$D$2*Основное!I34</f>
        <v>14450.415085620933</v>
      </c>
      <c r="I71" s="75"/>
    </row>
    <row r="72" spans="1:17" ht="14.25">
      <c r="A72" s="113" t="s">
        <v>277</v>
      </c>
      <c r="B72" s="114" t="s">
        <v>104</v>
      </c>
      <c r="C72" s="91"/>
      <c r="D72" s="91"/>
      <c r="E72" s="91"/>
      <c r="F72" s="91"/>
      <c r="G72" s="91"/>
      <c r="H72" s="102">
        <f>Основное!$D$2*Основное!I35</f>
        <v>76554.793161517955</v>
      </c>
      <c r="I72" s="117"/>
      <c r="J72" s="145"/>
      <c r="K72" s="145"/>
      <c r="L72" s="145"/>
      <c r="M72" s="145"/>
      <c r="N72" s="145"/>
      <c r="O72" s="145"/>
      <c r="P72" s="145"/>
      <c r="Q72" s="145"/>
    </row>
    <row r="73" spans="1:17" ht="14.25">
      <c r="A73" s="113" t="s">
        <v>273</v>
      </c>
      <c r="B73" s="114" t="s">
        <v>274</v>
      </c>
      <c r="C73" s="91"/>
      <c r="D73" s="91"/>
      <c r="E73" s="91"/>
      <c r="F73" s="91"/>
      <c r="G73" s="91"/>
      <c r="H73" s="102">
        <f>Основное!$D$2*Основное!I36</f>
        <v>13659.087864454696</v>
      </c>
      <c r="I73" s="117"/>
      <c r="J73" s="145"/>
      <c r="K73" s="145"/>
      <c r="L73" s="145"/>
      <c r="M73" s="145"/>
      <c r="N73" s="145"/>
      <c r="O73" s="145"/>
      <c r="P73" s="145"/>
      <c r="Q73" s="145"/>
    </row>
    <row r="74" spans="1:17" ht="15">
      <c r="A74" s="113" t="s">
        <v>278</v>
      </c>
      <c r="B74" s="114" t="s">
        <v>271</v>
      </c>
      <c r="C74" s="91"/>
      <c r="D74" s="91"/>
      <c r="E74" s="91"/>
      <c r="F74" s="91"/>
      <c r="G74" s="91"/>
      <c r="H74" s="102">
        <f>Основное!$D$2*Основное!I37</f>
        <v>126065.6271592143</v>
      </c>
      <c r="I74" s="75"/>
    </row>
    <row r="75" spans="1:17" ht="15">
      <c r="A75" s="113" t="s">
        <v>279</v>
      </c>
      <c r="B75" s="114" t="s">
        <v>272</v>
      </c>
      <c r="C75" s="91"/>
      <c r="D75" s="91"/>
      <c r="E75" s="91"/>
      <c r="F75" s="91"/>
      <c r="G75" s="91"/>
      <c r="H75" s="102">
        <f>Основное!$D$2*Основное!I38</f>
        <v>9108.2726767291897</v>
      </c>
      <c r="I75" s="75"/>
    </row>
    <row r="76" spans="1:17" ht="15">
      <c r="A76" s="113" t="s">
        <v>280</v>
      </c>
      <c r="B76" s="114" t="s">
        <v>105</v>
      </c>
      <c r="C76" s="91"/>
      <c r="D76" s="91"/>
      <c r="E76" s="91"/>
      <c r="F76" s="91"/>
      <c r="G76" s="91"/>
      <c r="H76" s="102">
        <f>Основное!$D$2*Основное!I39</f>
        <v>122377.69509944302</v>
      </c>
      <c r="I76" s="75"/>
    </row>
    <row r="77" spans="1:17" ht="15">
      <c r="A77" s="113" t="s">
        <v>281</v>
      </c>
      <c r="B77" s="114" t="s">
        <v>136</v>
      </c>
      <c r="C77" s="91"/>
      <c r="D77" s="91"/>
      <c r="E77" s="91"/>
      <c r="F77" s="91"/>
      <c r="G77" s="91"/>
      <c r="H77" s="102">
        <f>Основное!$D$2*Основное!I40</f>
        <v>293416.32788149687</v>
      </c>
      <c r="I77" s="75"/>
    </row>
    <row r="78" spans="1:17" ht="15">
      <c r="A78" s="113" t="s">
        <v>282</v>
      </c>
      <c r="B78" s="114" t="s">
        <v>141</v>
      </c>
      <c r="C78" s="91"/>
      <c r="D78" s="91"/>
      <c r="E78" s="91"/>
      <c r="F78" s="91"/>
      <c r="G78" s="91"/>
      <c r="H78" s="102">
        <f>Основное!$D$2*Основное!I41</f>
        <v>35036.30022057594</v>
      </c>
      <c r="I78" s="75"/>
    </row>
    <row r="79" spans="1:17" ht="15">
      <c r="A79" s="113" t="s">
        <v>283</v>
      </c>
      <c r="B79" s="114" t="s">
        <v>133</v>
      </c>
      <c r="C79" s="91"/>
      <c r="D79" s="91"/>
      <c r="E79" s="91"/>
      <c r="F79" s="91"/>
      <c r="G79" s="91"/>
      <c r="H79" s="102">
        <f>Основное!$D$2*Основное!I42</f>
        <v>18192.821062804822</v>
      </c>
      <c r="I79" s="75"/>
    </row>
    <row r="80" spans="1:17" ht="15">
      <c r="A80" s="113" t="s">
        <v>284</v>
      </c>
      <c r="B80" s="114" t="s">
        <v>139</v>
      </c>
      <c r="C80" s="91"/>
      <c r="D80" s="91"/>
      <c r="E80" s="91"/>
      <c r="F80" s="91"/>
      <c r="G80" s="91"/>
      <c r="H80" s="102">
        <f>Основное!$D$2*Основное!I43</f>
        <v>6702.775316816842</v>
      </c>
      <c r="I80" s="75"/>
    </row>
    <row r="81" spans="1:15" ht="15">
      <c r="A81" s="113" t="s">
        <v>285</v>
      </c>
      <c r="B81" s="114" t="s">
        <v>106</v>
      </c>
      <c r="C81" s="91"/>
      <c r="D81" s="91"/>
      <c r="E81" s="91"/>
      <c r="F81" s="91"/>
      <c r="G81" s="91"/>
      <c r="H81" s="102">
        <f>Основное!$D$2*Основное!I44</f>
        <v>792091.35859767336</v>
      </c>
      <c r="I81" s="75"/>
    </row>
    <row r="82" spans="1:15" ht="15">
      <c r="A82" s="113" t="s">
        <v>286</v>
      </c>
      <c r="B82" s="114" t="s">
        <v>132</v>
      </c>
      <c r="C82" s="91"/>
      <c r="D82" s="91"/>
      <c r="E82" s="91"/>
      <c r="F82" s="91"/>
      <c r="G82" s="91"/>
      <c r="H82" s="102">
        <f>Основное!$D$2*Основное!I45</f>
        <v>160002.45443673001</v>
      </c>
      <c r="I82" s="75"/>
    </row>
    <row r="83" spans="1:15" ht="15">
      <c r="A83" s="113" t="s">
        <v>287</v>
      </c>
      <c r="B83" s="114" t="s">
        <v>128</v>
      </c>
      <c r="C83" s="91"/>
      <c r="D83" s="91"/>
      <c r="E83" s="91"/>
      <c r="F83" s="91"/>
      <c r="G83" s="91"/>
      <c r="H83" s="102">
        <f>Основное!$D$2*Основное!I46</f>
        <v>23802.591155793682</v>
      </c>
      <c r="I83" s="75"/>
    </row>
    <row r="84" spans="1:15" ht="15">
      <c r="A84" s="113" t="s">
        <v>288</v>
      </c>
      <c r="B84" s="114" t="s">
        <v>50</v>
      </c>
      <c r="C84" s="91"/>
      <c r="D84" s="91"/>
      <c r="E84" s="91"/>
      <c r="F84" s="91"/>
      <c r="G84" s="91"/>
      <c r="H84" s="102">
        <f>Основное!$D$2*Основное!I47</f>
        <v>26934.713539308694</v>
      </c>
      <c r="I84" s="75"/>
    </row>
    <row r="85" spans="1:15">
      <c r="A85" s="119"/>
      <c r="B85" s="119"/>
      <c r="C85" s="119"/>
      <c r="D85" s="119"/>
      <c r="E85" s="119"/>
      <c r="F85" s="119"/>
      <c r="G85" s="119"/>
      <c r="H85" s="120"/>
      <c r="I85" s="117"/>
    </row>
    <row r="86" spans="1:15" s="145" customFormat="1" ht="26.25" customHeight="1">
      <c r="A86" s="189" t="s">
        <v>260</v>
      </c>
      <c r="B86" s="189"/>
      <c r="C86" s="189"/>
      <c r="D86" s="189"/>
      <c r="E86" s="189"/>
      <c r="F86" s="189"/>
      <c r="G86" s="189"/>
      <c r="H86" s="189"/>
      <c r="I86" s="121"/>
      <c r="J86" s="82"/>
    </row>
    <row r="87" spans="1:15" s="145" customFormat="1">
      <c r="A87" s="122"/>
      <c r="B87" s="215"/>
      <c r="C87" s="215"/>
      <c r="D87" s="215"/>
      <c r="E87" s="215"/>
      <c r="F87" s="215"/>
      <c r="G87" s="215"/>
      <c r="H87" s="215"/>
      <c r="I87" s="123"/>
    </row>
    <row r="88" spans="1:15" s="145" customFormat="1" ht="15.75">
      <c r="A88" s="184" t="s">
        <v>259</v>
      </c>
      <c r="B88" s="184"/>
      <c r="C88" s="184"/>
      <c r="D88" s="184"/>
      <c r="E88" s="184"/>
      <c r="F88" s="184"/>
      <c r="G88" s="184"/>
      <c r="I88" s="122"/>
    </row>
    <row r="89" spans="1:15" s="145" customFormat="1" ht="15.75">
      <c r="A89" s="112"/>
      <c r="B89" s="112"/>
      <c r="C89" s="112"/>
      <c r="D89" s="112"/>
      <c r="E89" s="86"/>
      <c r="F89" s="82"/>
      <c r="G89" s="124" t="s">
        <v>230</v>
      </c>
      <c r="H89" s="123"/>
      <c r="I89" s="123"/>
    </row>
    <row r="90" spans="1:15" s="83" customFormat="1" ht="30.75" customHeight="1">
      <c r="A90" s="125" t="s">
        <v>262</v>
      </c>
      <c r="B90" s="125" t="s">
        <v>261</v>
      </c>
      <c r="C90" s="126" t="s">
        <v>231</v>
      </c>
      <c r="D90" s="126" t="s">
        <v>232</v>
      </c>
      <c r="E90" s="127" t="s">
        <v>257</v>
      </c>
      <c r="F90" s="127" t="s">
        <v>258</v>
      </c>
      <c r="G90" s="178" t="s">
        <v>290</v>
      </c>
      <c r="J90" s="128"/>
    </row>
    <row r="91" spans="1:15" s="83" customFormat="1" ht="15">
      <c r="A91" s="144">
        <v>2566.08</v>
      </c>
      <c r="B91" s="148">
        <v>10800</v>
      </c>
      <c r="C91" s="142">
        <v>10800</v>
      </c>
      <c r="D91" s="144">
        <v>12000</v>
      </c>
      <c r="E91" s="142">
        <v>6000</v>
      </c>
      <c r="F91" s="142">
        <v>9000</v>
      </c>
      <c r="G91" s="179">
        <f>SUM(A91:F91)</f>
        <v>51166.080000000002</v>
      </c>
      <c r="H91" s="128"/>
      <c r="I91" s="128"/>
      <c r="J91" s="128"/>
    </row>
    <row r="92" spans="1:15" s="145" customFormat="1" ht="15">
      <c r="A92" s="129"/>
      <c r="B92" s="129"/>
      <c r="C92" s="130"/>
      <c r="D92" s="130"/>
      <c r="E92" s="130"/>
      <c r="F92" s="130"/>
      <c r="G92" s="82"/>
      <c r="H92" s="123"/>
      <c r="I92" s="123"/>
    </row>
    <row r="93" spans="1:15" s="145" customFormat="1" ht="93" customHeight="1">
      <c r="A93" s="228" t="s">
        <v>51</v>
      </c>
      <c r="B93" s="228"/>
      <c r="C93" s="228"/>
      <c r="D93" s="228"/>
      <c r="E93" s="228"/>
      <c r="F93" s="228"/>
      <c r="G93" s="228"/>
      <c r="H93" s="228"/>
      <c r="I93" s="131"/>
      <c r="J93" s="131"/>
      <c r="K93" s="131"/>
      <c r="L93" s="131"/>
    </row>
    <row r="94" spans="1:15" ht="61.5" customHeight="1">
      <c r="A94" s="229" t="s">
        <v>52</v>
      </c>
      <c r="B94" s="229"/>
      <c r="C94" s="229"/>
      <c r="D94" s="229"/>
      <c r="E94" s="229"/>
      <c r="F94" s="229"/>
      <c r="G94" s="229"/>
      <c r="H94" s="229"/>
      <c r="I94" s="132"/>
      <c r="J94" s="132"/>
      <c r="K94" s="132"/>
      <c r="L94" s="132"/>
      <c r="M94" s="132"/>
      <c r="N94" s="132"/>
      <c r="O94" s="132"/>
    </row>
    <row r="95" spans="1:15">
      <c r="A95" s="133"/>
      <c r="B95" s="133"/>
      <c r="C95" s="133"/>
      <c r="D95" s="133"/>
      <c r="E95" s="133"/>
      <c r="F95" s="133"/>
      <c r="G95" s="133"/>
      <c r="H95" s="133"/>
      <c r="I95" s="133"/>
      <c r="J95" s="133"/>
      <c r="K95" s="133"/>
      <c r="L95" s="133"/>
    </row>
    <row r="96" spans="1:15" ht="15">
      <c r="A96" s="242" t="s">
        <v>176</v>
      </c>
      <c r="B96" s="242"/>
      <c r="C96" s="242"/>
      <c r="D96" s="242"/>
      <c r="E96" s="242"/>
      <c r="F96" s="242"/>
      <c r="G96" s="242"/>
      <c r="H96" s="242"/>
      <c r="I96" s="134"/>
      <c r="J96" s="135"/>
      <c r="K96" s="135"/>
      <c r="L96" s="135"/>
      <c r="M96" s="135"/>
      <c r="N96" s="135"/>
      <c r="O96" s="135"/>
    </row>
    <row r="97" spans="1:15" ht="15">
      <c r="A97" s="242" t="s">
        <v>238</v>
      </c>
      <c r="B97" s="242"/>
      <c r="C97" s="242"/>
      <c r="D97" s="242"/>
      <c r="E97" s="242"/>
      <c r="F97" s="242"/>
      <c r="G97" s="242"/>
      <c r="H97" s="242"/>
      <c r="I97" s="134"/>
      <c r="J97" s="135"/>
      <c r="K97" s="135"/>
      <c r="L97" s="135"/>
      <c r="M97" s="135"/>
      <c r="N97" s="135"/>
      <c r="O97" s="135"/>
    </row>
    <row r="98" spans="1:15" ht="14.25">
      <c r="A98" s="193" t="s">
        <v>233</v>
      </c>
      <c r="B98" s="193"/>
      <c r="C98" s="193"/>
      <c r="D98" s="193"/>
      <c r="E98" s="193"/>
      <c r="F98" s="193"/>
      <c r="G98" s="193"/>
      <c r="H98" s="193"/>
      <c r="I98" s="149"/>
      <c r="J98" s="149"/>
      <c r="K98" s="149"/>
      <c r="L98" s="149"/>
      <c r="M98" s="149"/>
      <c r="N98" s="149"/>
      <c r="O98" s="149"/>
    </row>
    <row r="99" spans="1:15" ht="15">
      <c r="A99" s="182" t="s">
        <v>239</v>
      </c>
      <c r="B99" s="182"/>
      <c r="C99" s="182"/>
      <c r="D99" s="182"/>
      <c r="E99" s="182"/>
      <c r="F99" s="182"/>
      <c r="G99" s="182"/>
      <c r="H99" s="182"/>
      <c r="I99" s="136"/>
      <c r="J99" s="137"/>
      <c r="K99" s="137"/>
      <c r="L99" s="137"/>
      <c r="M99" s="137"/>
      <c r="N99" s="137"/>
      <c r="O99" s="137"/>
    </row>
    <row r="100" spans="1:15" ht="15">
      <c r="A100" s="183" t="s">
        <v>234</v>
      </c>
      <c r="B100" s="183"/>
      <c r="C100" s="183"/>
      <c r="D100" s="183"/>
      <c r="E100" s="183"/>
      <c r="F100" s="183"/>
      <c r="G100" s="183"/>
      <c r="H100" s="183"/>
      <c r="I100" s="138"/>
      <c r="J100" s="139"/>
      <c r="K100" s="139"/>
      <c r="L100" s="139"/>
      <c r="M100" s="139"/>
      <c r="N100" s="139"/>
      <c r="O100" s="139"/>
    </row>
  </sheetData>
  <mergeCells count="49">
    <mergeCell ref="A1:H1"/>
    <mergeCell ref="A2:H2"/>
    <mergeCell ref="A96:H96"/>
    <mergeCell ref="A97:H97"/>
    <mergeCell ref="E21:E23"/>
    <mergeCell ref="A24:B24"/>
    <mergeCell ref="C21:C23"/>
    <mergeCell ref="C32:D32"/>
    <mergeCell ref="E32:F32"/>
    <mergeCell ref="C33:G33"/>
    <mergeCell ref="B20:F20"/>
    <mergeCell ref="F21:F23"/>
    <mergeCell ref="A33:B33"/>
    <mergeCell ref="A93:H93"/>
    <mergeCell ref="A94:H94"/>
    <mergeCell ref="A63:G63"/>
    <mergeCell ref="B64:G64"/>
    <mergeCell ref="C40:G40"/>
    <mergeCell ref="A21:B23"/>
    <mergeCell ref="D21:D23"/>
    <mergeCell ref="G21:G23"/>
    <mergeCell ref="A58:K58"/>
    <mergeCell ref="A88:G88"/>
    <mergeCell ref="B69:G69"/>
    <mergeCell ref="B87:H87"/>
    <mergeCell ref="A51:B51"/>
    <mergeCell ref="C51:G51"/>
    <mergeCell ref="C56:G56"/>
    <mergeCell ref="A34:B45"/>
    <mergeCell ref="A3:H3"/>
    <mergeCell ref="A17:H17"/>
    <mergeCell ref="A19:H19"/>
    <mergeCell ref="H21:H23"/>
    <mergeCell ref="E5:H7"/>
    <mergeCell ref="C54:G54"/>
    <mergeCell ref="C37:G37"/>
    <mergeCell ref="C41:G41"/>
    <mergeCell ref="A52:B56"/>
    <mergeCell ref="A28:G28"/>
    <mergeCell ref="A99:H99"/>
    <mergeCell ref="A100:H100"/>
    <mergeCell ref="A31:H31"/>
    <mergeCell ref="A47:H47"/>
    <mergeCell ref="A49:H49"/>
    <mergeCell ref="A59:H59"/>
    <mergeCell ref="A61:H61"/>
    <mergeCell ref="A86:H86"/>
    <mergeCell ref="C55:G55"/>
    <mergeCell ref="A98:H98"/>
  </mergeCells>
  <phoneticPr fontId="11" type="noConversion"/>
  <hyperlinks>
    <hyperlink ref="A98" r:id="rId1" display="blgorod@rambler.ru,"/>
  </hyperlinks>
  <pageMargins left="0.78740157480314965" right="0.78740157480314965" top="0.78740157480314965" bottom="0.82677165354330717" header="0.51181102362204722" footer="0.51181102362204722"/>
  <pageSetup paperSize="9" scale="74" orientation="portrait" verticalDpi="360" r:id="rId2"/>
  <headerFooter alignWithMargins="0"/>
  <rowBreaks count="1" manualBreakCount="1">
    <brk id="59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T94"/>
  <sheetViews>
    <sheetView view="pageBreakPreview" topLeftCell="A65" zoomScaleSheetLayoutView="100" workbookViewId="0">
      <selection activeCell="F86" sqref="F86"/>
    </sheetView>
  </sheetViews>
  <sheetFormatPr defaultRowHeight="12.75"/>
  <cols>
    <col min="1" max="1" width="12.42578125" style="140" customWidth="1"/>
    <col min="2" max="2" width="12.28515625" style="140" customWidth="1"/>
    <col min="3" max="3" width="13.5703125" style="140" customWidth="1"/>
    <col min="4" max="4" width="13.28515625" style="140" customWidth="1"/>
    <col min="5" max="5" width="17.7109375" style="140" customWidth="1"/>
    <col min="6" max="6" width="14.28515625" style="140" customWidth="1"/>
    <col min="7" max="7" width="17.85546875" style="140" customWidth="1"/>
    <col min="8" max="8" width="14.28515625" style="140" customWidth="1"/>
    <col min="9" max="9" width="7.140625" style="140" customWidth="1"/>
    <col min="10" max="10" width="8.140625" style="140" customWidth="1"/>
    <col min="11" max="12" width="9.140625" style="140"/>
    <col min="13" max="13" width="0.5703125" style="140" customWidth="1"/>
    <col min="14" max="15" width="9.140625" style="140"/>
    <col min="16" max="16" width="1.42578125" style="140" customWidth="1"/>
    <col min="17" max="16384" width="9.140625" style="140"/>
  </cols>
  <sheetData>
    <row r="1" spans="1:16" ht="18">
      <c r="A1" s="241" t="s">
        <v>235</v>
      </c>
      <c r="B1" s="241"/>
      <c r="C1" s="241"/>
      <c r="D1" s="241"/>
      <c r="E1" s="241"/>
      <c r="F1" s="241"/>
      <c r="G1" s="241"/>
      <c r="H1" s="241"/>
      <c r="I1" s="62"/>
      <c r="J1" s="62"/>
      <c r="K1" s="62"/>
      <c r="L1" s="62"/>
      <c r="M1" s="62"/>
      <c r="N1" s="62"/>
      <c r="O1" s="62"/>
    </row>
    <row r="2" spans="1:16" ht="18">
      <c r="A2" s="241" t="s">
        <v>240</v>
      </c>
      <c r="B2" s="241"/>
      <c r="C2" s="241"/>
      <c r="D2" s="241"/>
      <c r="E2" s="241"/>
      <c r="F2" s="241"/>
      <c r="G2" s="241"/>
      <c r="H2" s="241"/>
      <c r="I2" s="62"/>
      <c r="J2" s="62"/>
      <c r="K2" s="62"/>
      <c r="L2" s="62"/>
      <c r="M2" s="62"/>
      <c r="N2" s="62"/>
      <c r="O2" s="62"/>
    </row>
    <row r="3" spans="1:16" ht="18">
      <c r="A3" s="194" t="s">
        <v>58</v>
      </c>
      <c r="B3" s="194"/>
      <c r="C3" s="194"/>
      <c r="D3" s="194"/>
      <c r="E3" s="194"/>
      <c r="F3" s="194"/>
      <c r="G3" s="194"/>
      <c r="H3" s="194"/>
      <c r="I3" s="63"/>
      <c r="J3" s="63"/>
      <c r="K3" s="63"/>
      <c r="L3" s="63"/>
      <c r="M3" s="63"/>
      <c r="N3" s="63"/>
      <c r="O3" s="63"/>
    </row>
    <row r="4" spans="1:16" ht="18">
      <c r="A4" s="63"/>
      <c r="B4" s="63"/>
      <c r="C4" s="63"/>
      <c r="D4" s="63"/>
      <c r="E4" s="63"/>
      <c r="F4" s="63"/>
      <c r="G4" s="63"/>
      <c r="H4" s="63"/>
      <c r="I4" s="63"/>
      <c r="J4" s="63"/>
      <c r="K4" s="64"/>
      <c r="L4" s="64"/>
      <c r="M4" s="64"/>
      <c r="N4" s="64"/>
      <c r="O4" s="64"/>
      <c r="P4" s="64"/>
    </row>
    <row r="5" spans="1:16" s="67" customFormat="1" ht="14.25" customHeight="1">
      <c r="A5" s="65" t="s">
        <v>177</v>
      </c>
      <c r="B5" s="65"/>
      <c r="C5" s="65"/>
      <c r="D5" s="65"/>
      <c r="E5" s="196" t="s">
        <v>59</v>
      </c>
      <c r="F5" s="196"/>
      <c r="G5" s="196"/>
      <c r="H5" s="196"/>
      <c r="I5" s="66"/>
      <c r="J5" s="66"/>
    </row>
    <row r="6" spans="1:16" s="67" customFormat="1" ht="14.25">
      <c r="A6" s="65" t="s">
        <v>96</v>
      </c>
      <c r="B6" s="65"/>
      <c r="C6" s="65"/>
      <c r="D6" s="65"/>
      <c r="E6" s="196"/>
      <c r="F6" s="196"/>
      <c r="G6" s="196"/>
      <c r="H6" s="196"/>
      <c r="I6" s="66"/>
      <c r="J6" s="66"/>
    </row>
    <row r="7" spans="1:16" s="67" customFormat="1" ht="27" customHeight="1">
      <c r="A7" s="65" t="s">
        <v>264</v>
      </c>
      <c r="B7" s="65"/>
      <c r="C7" s="65"/>
      <c r="D7" s="65"/>
      <c r="E7" s="196"/>
      <c r="F7" s="196"/>
      <c r="G7" s="196"/>
      <c r="H7" s="196"/>
      <c r="I7" s="66"/>
      <c r="J7" s="66"/>
    </row>
    <row r="8" spans="1:16" s="67" customFormat="1" ht="14.25">
      <c r="A8" s="65" t="s">
        <v>263</v>
      </c>
      <c r="B8" s="65"/>
      <c r="C8" s="65"/>
      <c r="D8" s="65"/>
      <c r="E8" s="66"/>
      <c r="F8" s="66"/>
      <c r="G8" s="66"/>
      <c r="H8" s="66"/>
      <c r="I8" s="68"/>
      <c r="J8" s="68"/>
    </row>
    <row r="9" spans="1:16" s="67" customFormat="1" ht="14.25">
      <c r="A9" s="65" t="s">
        <v>97</v>
      </c>
      <c r="B9" s="65"/>
      <c r="C9" s="65"/>
      <c r="D9" s="65"/>
      <c r="E9" s="68" t="s">
        <v>211</v>
      </c>
      <c r="F9" s="66"/>
      <c r="G9" s="66"/>
      <c r="H9" s="66"/>
      <c r="I9" s="66"/>
      <c r="J9" s="66"/>
    </row>
    <row r="10" spans="1:16" s="67" customFormat="1" ht="14.25">
      <c r="A10" s="65" t="s">
        <v>118</v>
      </c>
      <c r="B10" s="65"/>
      <c r="C10" s="65"/>
      <c r="D10" s="65"/>
      <c r="F10" s="68"/>
      <c r="G10" s="68"/>
      <c r="H10" s="68"/>
      <c r="I10" s="68"/>
      <c r="J10" s="68"/>
    </row>
    <row r="11" spans="1:16" s="67" customFormat="1" ht="14.25">
      <c r="A11" s="65" t="s">
        <v>178</v>
      </c>
      <c r="B11" s="65"/>
      <c r="C11" s="65"/>
      <c r="D11" s="65"/>
      <c r="E11" s="65" t="s">
        <v>212</v>
      </c>
      <c r="F11" s="65"/>
      <c r="G11" s="65" t="s">
        <v>60</v>
      </c>
      <c r="I11" s="65"/>
      <c r="J11" s="65"/>
    </row>
    <row r="12" spans="1:16" s="67" customFormat="1" ht="14.25">
      <c r="A12" s="65" t="s">
        <v>179</v>
      </c>
      <c r="B12" s="65"/>
      <c r="C12" s="65"/>
      <c r="D12" s="65"/>
      <c r="E12" s="65" t="s">
        <v>70</v>
      </c>
      <c r="F12" s="65"/>
      <c r="G12" s="65" t="s">
        <v>251</v>
      </c>
      <c r="I12" s="65"/>
      <c r="J12" s="65"/>
    </row>
    <row r="13" spans="1:16" s="67" customFormat="1" ht="14.25">
      <c r="A13" s="65" t="s">
        <v>180</v>
      </c>
      <c r="B13" s="65"/>
      <c r="C13" s="65"/>
      <c r="D13" s="65"/>
      <c r="E13" s="65" t="s">
        <v>71</v>
      </c>
      <c r="F13" s="65"/>
      <c r="G13" s="65" t="s">
        <v>27</v>
      </c>
      <c r="I13" s="65"/>
      <c r="J13" s="65"/>
    </row>
    <row r="14" spans="1:16" s="67" customFormat="1" ht="14.25">
      <c r="A14" s="65" t="s">
        <v>181</v>
      </c>
      <c r="B14" s="65"/>
      <c r="C14" s="65"/>
      <c r="D14" s="65"/>
      <c r="E14" s="65" t="s">
        <v>215</v>
      </c>
      <c r="F14" s="65"/>
      <c r="G14" s="65" t="s">
        <v>216</v>
      </c>
      <c r="I14" s="65"/>
      <c r="J14" s="65"/>
    </row>
    <row r="15" spans="1:16" s="67" customFormat="1" ht="14.25">
      <c r="A15" s="65" t="s">
        <v>182</v>
      </c>
      <c r="B15" s="65"/>
      <c r="C15" s="65"/>
      <c r="D15" s="65"/>
      <c r="E15" s="65" t="s">
        <v>217</v>
      </c>
      <c r="F15" s="65"/>
      <c r="G15" s="65" t="s">
        <v>61</v>
      </c>
      <c r="I15" s="65"/>
      <c r="J15" s="65"/>
    </row>
    <row r="16" spans="1:16" ht="18.75">
      <c r="A16" s="69"/>
      <c r="B16" s="69"/>
      <c r="C16" s="69"/>
      <c r="D16" s="69"/>
      <c r="E16" s="69"/>
      <c r="F16" s="70"/>
      <c r="G16" s="70"/>
      <c r="H16" s="70"/>
      <c r="I16" s="70"/>
      <c r="J16" s="70"/>
      <c r="K16" s="71"/>
      <c r="L16" s="71"/>
      <c r="M16" s="71"/>
      <c r="N16" s="71"/>
      <c r="O16" s="71"/>
      <c r="P16" s="71"/>
    </row>
    <row r="17" spans="1:16" ht="30" customHeight="1">
      <c r="A17" s="185" t="s">
        <v>68</v>
      </c>
      <c r="B17" s="185"/>
      <c r="C17" s="185"/>
      <c r="D17" s="185"/>
      <c r="E17" s="185"/>
      <c r="F17" s="185"/>
      <c r="G17" s="185"/>
      <c r="H17" s="185"/>
      <c r="I17" s="66"/>
      <c r="J17" s="66"/>
      <c r="K17" s="72"/>
      <c r="L17" s="72"/>
      <c r="M17" s="72"/>
      <c r="N17" s="72"/>
      <c r="O17" s="72"/>
      <c r="P17" s="72"/>
    </row>
    <row r="18" spans="1:16" ht="15.75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2"/>
      <c r="L18" s="72"/>
      <c r="M18" s="72"/>
      <c r="N18" s="72"/>
      <c r="O18" s="72"/>
      <c r="P18" s="72"/>
    </row>
    <row r="19" spans="1:16" ht="15.75">
      <c r="A19" s="188" t="s">
        <v>63</v>
      </c>
      <c r="B19" s="188"/>
      <c r="C19" s="188"/>
      <c r="D19" s="188"/>
      <c r="E19" s="188"/>
      <c r="F19" s="188"/>
      <c r="G19" s="188"/>
      <c r="H19" s="188"/>
      <c r="I19" s="74"/>
      <c r="J19" s="74"/>
      <c r="K19" s="74"/>
      <c r="L19" s="74"/>
      <c r="M19" s="74"/>
      <c r="N19" s="74"/>
      <c r="O19" s="74"/>
      <c r="P19" s="74"/>
    </row>
    <row r="20" spans="1:16" ht="15.75">
      <c r="A20" s="75"/>
      <c r="B20" s="224"/>
      <c r="C20" s="224"/>
      <c r="D20" s="224"/>
      <c r="E20" s="224"/>
      <c r="F20" s="224"/>
      <c r="G20" s="75"/>
      <c r="H20" s="76" t="s">
        <v>218</v>
      </c>
      <c r="I20" s="76"/>
      <c r="K20" s="72"/>
      <c r="M20" s="72"/>
      <c r="N20" s="72"/>
      <c r="O20" s="77"/>
    </row>
    <row r="21" spans="1:16" s="67" customFormat="1" ht="15" customHeight="1">
      <c r="A21" s="225" t="s">
        <v>219</v>
      </c>
      <c r="B21" s="235"/>
      <c r="C21" s="238" t="s">
        <v>253</v>
      </c>
      <c r="D21" s="238" t="s">
        <v>220</v>
      </c>
      <c r="E21" s="243" t="s">
        <v>10</v>
      </c>
      <c r="F21" s="225" t="s">
        <v>252</v>
      </c>
      <c r="G21" s="209" t="s">
        <v>221</v>
      </c>
      <c r="H21" s="195" t="s">
        <v>222</v>
      </c>
      <c r="I21" s="78"/>
    </row>
    <row r="22" spans="1:16" s="67" customFormat="1" ht="15" customHeight="1">
      <c r="A22" s="226"/>
      <c r="B22" s="236"/>
      <c r="C22" s="239"/>
      <c r="D22" s="239"/>
      <c r="E22" s="244"/>
      <c r="F22" s="226"/>
      <c r="G22" s="210"/>
      <c r="H22" s="195"/>
      <c r="I22" s="78"/>
    </row>
    <row r="23" spans="1:16" s="67" customFormat="1" ht="75" customHeight="1">
      <c r="A23" s="227"/>
      <c r="B23" s="237"/>
      <c r="C23" s="240"/>
      <c r="D23" s="240"/>
      <c r="E23" s="245"/>
      <c r="F23" s="227"/>
      <c r="G23" s="211"/>
      <c r="H23" s="195"/>
      <c r="I23" s="78"/>
    </row>
    <row r="24" spans="1:16" s="81" customFormat="1" ht="14.25">
      <c r="A24" s="246">
        <v>78373</v>
      </c>
      <c r="B24" s="247"/>
      <c r="C24" s="141">
        <v>41806.290000000008</v>
      </c>
      <c r="D24" s="142">
        <v>41789.910000000003</v>
      </c>
      <c r="E24" s="142">
        <v>16473.239999999998</v>
      </c>
      <c r="F24" s="141">
        <f>C24-D24</f>
        <v>16.380000000004657</v>
      </c>
      <c r="G24" s="143">
        <v>13331</v>
      </c>
      <c r="H24" s="144">
        <f>A24+D24+E24-G24</f>
        <v>123305.15</v>
      </c>
      <c r="I24" s="79"/>
      <c r="J24" s="80"/>
    </row>
    <row r="25" spans="1:16" ht="15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2"/>
      <c r="L25" s="72"/>
      <c r="M25" s="72"/>
      <c r="N25" s="72"/>
      <c r="O25" s="72"/>
      <c r="P25" s="72"/>
    </row>
    <row r="26" spans="1:16" ht="14.25">
      <c r="A26" s="65" t="s">
        <v>64</v>
      </c>
      <c r="B26" s="65"/>
      <c r="C26" s="65"/>
      <c r="D26" s="65"/>
      <c r="E26" s="65"/>
      <c r="F26" s="65"/>
      <c r="G26" s="84"/>
      <c r="H26" s="84"/>
      <c r="I26" s="65"/>
      <c r="J26" s="67"/>
      <c r="K26" s="67"/>
      <c r="L26" s="67"/>
      <c r="M26" s="67"/>
      <c r="N26" s="67"/>
      <c r="O26" s="67"/>
    </row>
    <row r="27" spans="1:16" ht="14.25">
      <c r="A27" s="65" t="s">
        <v>255</v>
      </c>
      <c r="B27" s="65"/>
      <c r="C27" s="65"/>
      <c r="D27" s="65"/>
      <c r="E27" s="65"/>
      <c r="F27" s="65"/>
      <c r="G27" s="84"/>
      <c r="H27" s="84"/>
      <c r="I27" s="65"/>
      <c r="J27" s="67"/>
      <c r="K27" s="67"/>
      <c r="L27" s="67"/>
      <c r="M27" s="67"/>
      <c r="N27" s="67"/>
      <c r="O27" s="67"/>
    </row>
    <row r="28" spans="1:16" ht="15" customHeight="1">
      <c r="A28" s="185" t="s">
        <v>248</v>
      </c>
      <c r="B28" s="185"/>
      <c r="C28" s="185"/>
      <c r="D28" s="185"/>
      <c r="E28" s="185"/>
      <c r="F28" s="185"/>
      <c r="G28" s="185"/>
      <c r="H28" s="185"/>
      <c r="I28" s="185"/>
      <c r="J28" s="185"/>
      <c r="K28" s="66"/>
      <c r="L28" s="66"/>
      <c r="M28" s="66"/>
      <c r="N28" s="66"/>
      <c r="O28" s="66"/>
      <c r="P28" s="66"/>
    </row>
    <row r="29" spans="1:16" ht="14.25">
      <c r="A29" s="65" t="s">
        <v>249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</row>
    <row r="30" spans="1:16" ht="15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</row>
    <row r="31" spans="1:16" s="145" customFormat="1" ht="15.75">
      <c r="A31" s="184" t="s">
        <v>223</v>
      </c>
      <c r="B31" s="184"/>
      <c r="C31" s="184"/>
      <c r="D31" s="184"/>
      <c r="E31" s="184"/>
      <c r="F31" s="184"/>
      <c r="G31" s="184"/>
      <c r="H31" s="184"/>
      <c r="I31" s="86"/>
      <c r="J31" s="86"/>
    </row>
    <row r="32" spans="1:16" s="145" customFormat="1">
      <c r="A32" s="87"/>
      <c r="B32" s="146"/>
      <c r="C32" s="248"/>
      <c r="D32" s="248"/>
      <c r="E32" s="249"/>
      <c r="F32" s="249"/>
      <c r="G32" s="146"/>
      <c r="H32" s="88" t="s">
        <v>224</v>
      </c>
      <c r="I32" s="88"/>
    </row>
    <row r="33" spans="1:20" s="145" customFormat="1" ht="15.75">
      <c r="A33" s="190" t="s">
        <v>112</v>
      </c>
      <c r="B33" s="191"/>
      <c r="C33" s="218" t="s">
        <v>47</v>
      </c>
      <c r="D33" s="219"/>
      <c r="E33" s="219"/>
      <c r="F33" s="219"/>
      <c r="G33" s="220"/>
      <c r="H33" s="89" t="s">
        <v>225</v>
      </c>
    </row>
    <row r="34" spans="1:20" s="145" customFormat="1" ht="15" customHeight="1">
      <c r="A34" s="223" t="s">
        <v>237</v>
      </c>
      <c r="B34" s="223"/>
      <c r="C34" s="154" t="s">
        <v>40</v>
      </c>
      <c r="D34" s="100"/>
      <c r="E34" s="100"/>
      <c r="F34" s="100"/>
      <c r="G34" s="100"/>
      <c r="H34" s="102">
        <f>1029</f>
        <v>1029</v>
      </c>
      <c r="N34" s="90"/>
      <c r="O34" s="90"/>
      <c r="P34" s="90"/>
      <c r="Q34" s="90"/>
      <c r="R34" s="90"/>
      <c r="S34" s="90"/>
      <c r="T34" s="90"/>
    </row>
    <row r="35" spans="1:20" s="145" customFormat="1" ht="15" customHeight="1">
      <c r="A35" s="223"/>
      <c r="B35" s="223"/>
      <c r="C35" s="154" t="s">
        <v>66</v>
      </c>
      <c r="D35" s="100"/>
      <c r="E35" s="100"/>
      <c r="F35" s="100"/>
      <c r="G35" s="100"/>
      <c r="H35" s="102">
        <f>12302</f>
        <v>12302</v>
      </c>
      <c r="N35" s="90"/>
      <c r="O35" s="90"/>
      <c r="P35" s="90"/>
      <c r="Q35" s="90"/>
      <c r="R35" s="90"/>
      <c r="S35" s="90"/>
      <c r="T35" s="90"/>
    </row>
    <row r="36" spans="1:20" s="145" customFormat="1" ht="15" customHeight="1">
      <c r="A36" s="223"/>
      <c r="B36" s="223"/>
      <c r="C36" s="171"/>
      <c r="D36" s="172"/>
      <c r="E36" s="172"/>
      <c r="F36" s="172"/>
      <c r="G36" s="172"/>
      <c r="H36" s="94">
        <f>SUM(H34:H35)</f>
        <v>13331</v>
      </c>
      <c r="N36" s="90"/>
      <c r="O36" s="90"/>
      <c r="P36" s="90"/>
      <c r="Q36" s="90"/>
      <c r="R36" s="90"/>
      <c r="S36" s="90"/>
      <c r="T36" s="90"/>
    </row>
    <row r="37" spans="1:20" s="145" customFormat="1" ht="15" customHeight="1">
      <c r="A37" s="223"/>
      <c r="B37" s="223"/>
      <c r="C37" s="218" t="s">
        <v>48</v>
      </c>
      <c r="D37" s="219"/>
      <c r="E37" s="219"/>
      <c r="F37" s="219"/>
      <c r="G37" s="220"/>
      <c r="H37" s="102"/>
      <c r="N37" s="90"/>
      <c r="O37" s="90"/>
      <c r="P37" s="90"/>
      <c r="Q37" s="90"/>
      <c r="R37" s="90"/>
      <c r="S37" s="90"/>
      <c r="T37" s="90"/>
    </row>
    <row r="38" spans="1:20" s="145" customFormat="1" ht="15" customHeight="1">
      <c r="A38" s="223"/>
      <c r="B38" s="223"/>
      <c r="C38" s="155" t="s">
        <v>39</v>
      </c>
      <c r="D38" s="156"/>
      <c r="E38" s="156"/>
      <c r="F38" s="156"/>
      <c r="G38" s="156"/>
      <c r="H38" s="102">
        <f>2122</f>
        <v>2122</v>
      </c>
      <c r="N38" s="90"/>
      <c r="O38" s="90"/>
      <c r="P38" s="90"/>
      <c r="Q38" s="90"/>
      <c r="R38" s="90"/>
      <c r="S38" s="90"/>
      <c r="T38" s="90"/>
    </row>
    <row r="39" spans="1:20" s="145" customFormat="1" ht="15" customHeight="1">
      <c r="A39" s="223"/>
      <c r="B39" s="223"/>
      <c r="C39" s="154" t="s">
        <v>84</v>
      </c>
      <c r="D39" s="100"/>
      <c r="E39" s="100"/>
      <c r="F39" s="100"/>
      <c r="G39" s="100"/>
      <c r="H39" s="102">
        <f>14356</f>
        <v>14356</v>
      </c>
      <c r="N39" s="90"/>
      <c r="O39" s="90"/>
      <c r="P39" s="90"/>
      <c r="Q39" s="90"/>
      <c r="R39" s="90"/>
      <c r="S39" s="90"/>
      <c r="T39" s="90"/>
    </row>
    <row r="40" spans="1:20" s="145" customFormat="1" ht="15">
      <c r="A40" s="223"/>
      <c r="B40" s="223"/>
      <c r="C40" s="154" t="s">
        <v>40</v>
      </c>
      <c r="D40" s="173"/>
      <c r="E40" s="173"/>
      <c r="F40" s="173"/>
      <c r="G40" s="173"/>
      <c r="H40" s="102">
        <f>1048</f>
        <v>1048</v>
      </c>
      <c r="N40" s="90"/>
      <c r="O40" s="90"/>
      <c r="P40" s="90"/>
      <c r="Q40" s="90"/>
      <c r="R40" s="90"/>
      <c r="S40" s="90"/>
      <c r="T40" s="90"/>
    </row>
    <row r="41" spans="1:20">
      <c r="A41" s="95"/>
      <c r="B41" s="95"/>
      <c r="C41" s="95"/>
      <c r="D41" s="95"/>
      <c r="E41" s="96"/>
      <c r="F41" s="96"/>
      <c r="G41" s="96"/>
      <c r="H41" s="96"/>
      <c r="I41" s="96"/>
      <c r="J41" s="96"/>
    </row>
    <row r="42" spans="1:20" ht="42.75" customHeight="1">
      <c r="A42" s="185" t="s">
        <v>69</v>
      </c>
      <c r="B42" s="185"/>
      <c r="C42" s="185"/>
      <c r="D42" s="185"/>
      <c r="E42" s="185"/>
      <c r="F42" s="185"/>
      <c r="G42" s="185"/>
      <c r="H42" s="185"/>
      <c r="I42" s="66"/>
      <c r="J42" s="66"/>
    </row>
    <row r="43" spans="1:20">
      <c r="A43" s="95"/>
      <c r="B43" s="95"/>
      <c r="C43" s="95"/>
      <c r="D43" s="95"/>
      <c r="E43" s="96"/>
      <c r="F43" s="96"/>
      <c r="G43" s="96"/>
      <c r="H43" s="96"/>
      <c r="I43" s="96"/>
      <c r="J43" s="96"/>
    </row>
    <row r="44" spans="1:20" ht="33" customHeight="1">
      <c r="A44" s="186" t="s">
        <v>49</v>
      </c>
      <c r="B44" s="186"/>
      <c r="C44" s="186"/>
      <c r="D44" s="186"/>
      <c r="E44" s="186"/>
      <c r="F44" s="186"/>
      <c r="G44" s="186"/>
      <c r="H44" s="186"/>
      <c r="I44" s="97"/>
      <c r="J44" s="97"/>
      <c r="K44" s="74"/>
      <c r="L44" s="74"/>
      <c r="M44" s="74"/>
      <c r="N44" s="74"/>
      <c r="O44" s="74"/>
      <c r="P44" s="74"/>
    </row>
    <row r="45" spans="1:20" ht="15">
      <c r="A45" s="98"/>
      <c r="B45" s="98"/>
      <c r="C45" s="98"/>
      <c r="D45" s="98"/>
      <c r="E45" s="98"/>
      <c r="F45" s="98"/>
      <c r="G45" s="98"/>
      <c r="H45" s="99" t="s">
        <v>227</v>
      </c>
      <c r="J45" s="98"/>
      <c r="M45" s="98"/>
      <c r="N45" s="98"/>
      <c r="O45" s="98"/>
      <c r="P45" s="98"/>
    </row>
    <row r="46" spans="1:20" ht="15.75">
      <c r="A46" s="218" t="s">
        <v>112</v>
      </c>
      <c r="B46" s="220"/>
      <c r="C46" s="218" t="s">
        <v>47</v>
      </c>
      <c r="D46" s="219"/>
      <c r="E46" s="219"/>
      <c r="F46" s="219"/>
      <c r="G46" s="220"/>
      <c r="H46" s="89" t="s">
        <v>225</v>
      </c>
      <c r="I46" s="98"/>
      <c r="J46" s="98"/>
      <c r="K46" s="98"/>
      <c r="L46" s="98"/>
    </row>
    <row r="47" spans="1:20" ht="15" customHeight="1">
      <c r="A47" s="205" t="s">
        <v>237</v>
      </c>
      <c r="B47" s="206"/>
      <c r="C47" s="114" t="s">
        <v>134</v>
      </c>
      <c r="D47" s="100"/>
      <c r="E47" s="100"/>
      <c r="F47" s="100"/>
      <c r="G47" s="101"/>
      <c r="H47" s="102">
        <f>H67</f>
        <v>3147.3194765275957</v>
      </c>
      <c r="I47" s="98"/>
      <c r="J47" s="98"/>
      <c r="K47" s="98"/>
      <c r="L47" s="98"/>
    </row>
    <row r="48" spans="1:20" ht="15" customHeight="1">
      <c r="A48" s="205"/>
      <c r="B48" s="206"/>
      <c r="C48" s="67" t="s">
        <v>44</v>
      </c>
      <c r="D48" s="100"/>
      <c r="E48" s="100"/>
      <c r="F48" s="100"/>
      <c r="G48" s="101"/>
      <c r="H48" s="102">
        <f>650+650</f>
        <v>1300</v>
      </c>
      <c r="I48" s="98"/>
      <c r="J48" s="98"/>
      <c r="K48" s="98"/>
      <c r="L48" s="98"/>
    </row>
    <row r="49" spans="1:12" ht="15" customHeight="1">
      <c r="A49" s="205"/>
      <c r="B49" s="206"/>
      <c r="C49" s="197" t="s">
        <v>42</v>
      </c>
      <c r="D49" s="198"/>
      <c r="E49" s="198"/>
      <c r="F49" s="198"/>
      <c r="G49" s="199"/>
      <c r="H49" s="102">
        <f>1009</f>
        <v>1009</v>
      </c>
      <c r="I49" s="98"/>
      <c r="J49" s="98"/>
      <c r="K49" s="98"/>
      <c r="L49" s="98"/>
    </row>
    <row r="50" spans="1:12" ht="15.75">
      <c r="A50" s="205"/>
      <c r="B50" s="206"/>
      <c r="C50" s="218" t="s">
        <v>48</v>
      </c>
      <c r="D50" s="219"/>
      <c r="E50" s="219"/>
      <c r="F50" s="219"/>
      <c r="G50" s="220"/>
      <c r="H50" s="165"/>
      <c r="I50" s="98"/>
      <c r="J50" s="98"/>
      <c r="K50" s="98"/>
      <c r="L50" s="98"/>
    </row>
    <row r="51" spans="1:12" ht="15">
      <c r="A51" s="207"/>
      <c r="B51" s="208"/>
      <c r="C51" s="250" t="s">
        <v>228</v>
      </c>
      <c r="D51" s="221"/>
      <c r="E51" s="221"/>
      <c r="F51" s="221"/>
      <c r="G51" s="222"/>
      <c r="H51" s="102">
        <v>3835.38</v>
      </c>
      <c r="I51" s="98"/>
      <c r="J51" s="98"/>
      <c r="K51" s="98"/>
      <c r="L51" s="98"/>
    </row>
    <row r="52" spans="1:12">
      <c r="A52" s="95"/>
      <c r="B52" s="95"/>
      <c r="C52" s="95"/>
      <c r="D52" s="95"/>
      <c r="E52" s="96"/>
      <c r="F52" s="96"/>
      <c r="G52" s="96"/>
      <c r="H52" s="96"/>
      <c r="I52" s="96"/>
      <c r="J52" s="96"/>
    </row>
    <row r="53" spans="1:12">
      <c r="A53" s="90" t="s">
        <v>183</v>
      </c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</row>
    <row r="54" spans="1:12" ht="18" customHeight="1">
      <c r="A54" s="187" t="s">
        <v>111</v>
      </c>
      <c r="B54" s="187"/>
      <c r="C54" s="187"/>
      <c r="D54" s="187"/>
      <c r="E54" s="187"/>
      <c r="F54" s="187"/>
      <c r="G54" s="187"/>
      <c r="H54" s="187"/>
      <c r="I54" s="106"/>
      <c r="J54" s="106"/>
    </row>
    <row r="55" spans="1:12" ht="12" customHeight="1">
      <c r="A55" s="106"/>
      <c r="B55" s="106"/>
      <c r="C55" s="106"/>
      <c r="D55" s="106"/>
      <c r="E55" s="106"/>
      <c r="F55" s="106"/>
      <c r="G55" s="106"/>
      <c r="H55" s="106"/>
      <c r="I55" s="106"/>
      <c r="J55" s="106"/>
    </row>
    <row r="56" spans="1:12" ht="15.75">
      <c r="A56" s="188" t="s">
        <v>109</v>
      </c>
      <c r="B56" s="188"/>
      <c r="C56" s="188"/>
      <c r="D56" s="188"/>
      <c r="E56" s="188"/>
      <c r="F56" s="188"/>
      <c r="G56" s="188"/>
      <c r="H56" s="188"/>
      <c r="I56" s="74"/>
      <c r="J56" s="74"/>
    </row>
    <row r="57" spans="1:12" ht="15.75">
      <c r="A57" s="107"/>
      <c r="B57" s="107"/>
      <c r="C57" s="107"/>
      <c r="D57" s="107"/>
      <c r="E57" s="107"/>
      <c r="F57" s="107"/>
      <c r="G57" s="107"/>
      <c r="H57" s="99" t="s">
        <v>229</v>
      </c>
      <c r="J57" s="107"/>
    </row>
    <row r="58" spans="1:12" ht="15.75">
      <c r="A58" s="230" t="s">
        <v>110</v>
      </c>
      <c r="B58" s="230"/>
      <c r="C58" s="230"/>
      <c r="D58" s="230"/>
      <c r="E58" s="230"/>
      <c r="F58" s="230"/>
      <c r="G58" s="231"/>
      <c r="H58" s="108">
        <f>SUM(H65:H78)+H60+H64</f>
        <v>435035.94359991787</v>
      </c>
      <c r="I58" s="109"/>
      <c r="J58" s="109"/>
    </row>
    <row r="59" spans="1:12" ht="15">
      <c r="A59" s="110" t="s">
        <v>98</v>
      </c>
      <c r="B59" s="232" t="s">
        <v>99</v>
      </c>
      <c r="C59" s="233"/>
      <c r="D59" s="233"/>
      <c r="E59" s="233"/>
      <c r="F59" s="233"/>
      <c r="G59" s="234"/>
      <c r="H59" s="111" t="s">
        <v>100</v>
      </c>
      <c r="I59" s="112"/>
    </row>
    <row r="60" spans="1:12" ht="15">
      <c r="A60" s="113" t="s">
        <v>101</v>
      </c>
      <c r="B60" s="114" t="s">
        <v>102</v>
      </c>
      <c r="C60" s="91"/>
      <c r="D60" s="91"/>
      <c r="E60" s="91"/>
      <c r="F60" s="91"/>
      <c r="G60" s="91"/>
      <c r="H60" s="94">
        <f>SUM(H62:H63)</f>
        <v>25223.987409530913</v>
      </c>
      <c r="I60" s="105"/>
      <c r="J60" s="105"/>
    </row>
    <row r="61" spans="1:12" ht="14.25">
      <c r="A61" s="113"/>
      <c r="B61" s="114" t="s">
        <v>0</v>
      </c>
      <c r="C61" s="91"/>
      <c r="D61" s="91"/>
      <c r="E61" s="91"/>
      <c r="F61" s="91"/>
      <c r="G61" s="91"/>
      <c r="H61" s="102">
        <f>443</f>
        <v>443</v>
      </c>
      <c r="I61" s="105"/>
      <c r="J61" s="105"/>
    </row>
    <row r="62" spans="1:12" ht="15">
      <c r="A62" s="113"/>
      <c r="B62" s="114" t="s">
        <v>13</v>
      </c>
      <c r="C62" s="91"/>
      <c r="D62" s="91"/>
      <c r="E62" s="91"/>
      <c r="F62" s="91"/>
      <c r="G62" s="91"/>
      <c r="H62" s="102">
        <f>488</f>
        <v>488</v>
      </c>
      <c r="I62" s="75"/>
    </row>
    <row r="63" spans="1:12" ht="47.25" customHeight="1">
      <c r="A63" s="113"/>
      <c r="B63" s="213" t="s">
        <v>15</v>
      </c>
      <c r="C63" s="214"/>
      <c r="D63" s="214"/>
      <c r="E63" s="214"/>
      <c r="F63" s="214"/>
      <c r="G63" s="214"/>
      <c r="H63" s="102">
        <f>Основное!$D$3*Основное!I32</f>
        <v>24735.987409530913</v>
      </c>
      <c r="I63" s="75"/>
      <c r="J63" s="174"/>
    </row>
    <row r="64" spans="1:12" ht="15">
      <c r="A64" s="113" t="s">
        <v>103</v>
      </c>
      <c r="B64" s="114" t="s">
        <v>140</v>
      </c>
      <c r="C64" s="91"/>
      <c r="D64" s="91"/>
      <c r="E64" s="91"/>
      <c r="F64" s="91"/>
      <c r="G64" s="91"/>
      <c r="H64" s="102">
        <f>Основное!$D$3*Основное!I33+H35</f>
        <v>13860.27627771311</v>
      </c>
      <c r="I64" s="75"/>
    </row>
    <row r="65" spans="1:18" ht="15">
      <c r="A65" s="113" t="s">
        <v>276</v>
      </c>
      <c r="B65" s="61" t="s">
        <v>275</v>
      </c>
      <c r="C65" s="91"/>
      <c r="D65" s="91"/>
      <c r="E65" s="91"/>
      <c r="F65" s="91"/>
      <c r="G65" s="91"/>
      <c r="H65" s="102">
        <f>Основное!$D$3*Основное!I34</f>
        <v>3329.6566574724661</v>
      </c>
      <c r="I65" s="75"/>
    </row>
    <row r="66" spans="1:18" ht="14.25">
      <c r="A66" s="113" t="s">
        <v>277</v>
      </c>
      <c r="B66" s="114" t="s">
        <v>104</v>
      </c>
      <c r="C66" s="91"/>
      <c r="D66" s="91"/>
      <c r="E66" s="91"/>
      <c r="F66" s="91"/>
      <c r="G66" s="91"/>
      <c r="H66" s="102">
        <f>Основное!$D$3*Основное!I35</f>
        <v>17639.71312943934</v>
      </c>
      <c r="I66" s="117"/>
      <c r="J66" s="117"/>
      <c r="K66" s="145"/>
      <c r="L66" s="145"/>
      <c r="M66" s="145"/>
      <c r="N66" s="145"/>
      <c r="O66" s="145"/>
      <c r="P66" s="145"/>
      <c r="Q66" s="145"/>
      <c r="R66" s="145"/>
    </row>
    <row r="67" spans="1:18" ht="14.25">
      <c r="A67" s="113" t="s">
        <v>273</v>
      </c>
      <c r="B67" s="114" t="s">
        <v>274</v>
      </c>
      <c r="C67" s="91"/>
      <c r="D67" s="91"/>
      <c r="E67" s="91"/>
      <c r="F67" s="91"/>
      <c r="G67" s="91"/>
      <c r="H67" s="102">
        <f>Основное!$D$3*Основное!I36</f>
        <v>3147.3194765275957</v>
      </c>
      <c r="I67" s="117"/>
      <c r="J67" s="117"/>
      <c r="K67" s="145"/>
      <c r="L67" s="145"/>
      <c r="M67" s="145"/>
      <c r="N67" s="145"/>
      <c r="O67" s="145"/>
      <c r="P67" s="145"/>
      <c r="Q67" s="145"/>
      <c r="R67" s="145"/>
    </row>
    <row r="68" spans="1:18" ht="15">
      <c r="A68" s="113" t="s">
        <v>278</v>
      </c>
      <c r="B68" s="114" t="s">
        <v>271</v>
      </c>
      <c r="C68" s="91"/>
      <c r="D68" s="91"/>
      <c r="E68" s="91"/>
      <c r="F68" s="91"/>
      <c r="G68" s="91"/>
      <c r="H68" s="102">
        <f>Основное!$D$3*Основное!I37</f>
        <v>29047.97213519509</v>
      </c>
      <c r="I68" s="75"/>
    </row>
    <row r="69" spans="1:18" ht="15">
      <c r="A69" s="113" t="s">
        <v>279</v>
      </c>
      <c r="B69" s="114" t="s">
        <v>272</v>
      </c>
      <c r="C69" s="91"/>
      <c r="D69" s="91"/>
      <c r="E69" s="91"/>
      <c r="F69" s="91"/>
      <c r="G69" s="91"/>
      <c r="H69" s="102">
        <f>Основное!$D$3*Основное!I38</f>
        <v>2098.7231561481985</v>
      </c>
      <c r="I69" s="75"/>
    </row>
    <row r="70" spans="1:18" ht="15">
      <c r="A70" s="113" t="s">
        <v>280</v>
      </c>
      <c r="B70" s="114" t="s">
        <v>105</v>
      </c>
      <c r="C70" s="91"/>
      <c r="D70" s="91"/>
      <c r="E70" s="91"/>
      <c r="F70" s="91"/>
      <c r="G70" s="91"/>
      <c r="H70" s="102">
        <f>Основное!$D$3*Основное!I39</f>
        <v>28198.200868254633</v>
      </c>
      <c r="I70" s="75"/>
    </row>
    <row r="71" spans="1:18" ht="15">
      <c r="A71" s="113" t="s">
        <v>281</v>
      </c>
      <c r="B71" s="114" t="s">
        <v>136</v>
      </c>
      <c r="C71" s="91"/>
      <c r="D71" s="91"/>
      <c r="E71" s="91"/>
      <c r="F71" s="91"/>
      <c r="G71" s="91"/>
      <c r="H71" s="102">
        <f>Основное!$D$3*Основное!I40</f>
        <v>67608.828103069638</v>
      </c>
      <c r="I71" s="75"/>
    </row>
    <row r="72" spans="1:18" ht="15">
      <c r="A72" s="113" t="s">
        <v>282</v>
      </c>
      <c r="B72" s="114" t="s">
        <v>141</v>
      </c>
      <c r="C72" s="91"/>
      <c r="D72" s="91"/>
      <c r="E72" s="91"/>
      <c r="F72" s="91"/>
      <c r="G72" s="91"/>
      <c r="H72" s="102">
        <f>Основное!$D$3*Основное!I41</f>
        <v>8073.0449327180613</v>
      </c>
      <c r="I72" s="75"/>
    </row>
    <row r="73" spans="1:18" ht="15">
      <c r="A73" s="113" t="s">
        <v>283</v>
      </c>
      <c r="B73" s="114" t="s">
        <v>133</v>
      </c>
      <c r="C73" s="91"/>
      <c r="D73" s="91"/>
      <c r="E73" s="91"/>
      <c r="F73" s="91"/>
      <c r="G73" s="91"/>
      <c r="H73" s="102">
        <f>Основное!$D$3*Основное!I42</f>
        <v>4191.9797743561103</v>
      </c>
      <c r="I73" s="75"/>
    </row>
    <row r="74" spans="1:18" ht="15">
      <c r="A74" s="113" t="s">
        <v>284</v>
      </c>
      <c r="B74" s="114" t="s">
        <v>139</v>
      </c>
      <c r="C74" s="91"/>
      <c r="D74" s="91"/>
      <c r="E74" s="91"/>
      <c r="F74" s="91"/>
      <c r="G74" s="91"/>
      <c r="H74" s="102">
        <f>Основное!$D$3*Основное!I43</f>
        <v>1544.4497839642727</v>
      </c>
      <c r="I74" s="75"/>
    </row>
    <row r="75" spans="1:18" ht="15">
      <c r="A75" s="113" t="s">
        <v>285</v>
      </c>
      <c r="B75" s="114" t="s">
        <v>106</v>
      </c>
      <c r="C75" s="91"/>
      <c r="D75" s="91"/>
      <c r="E75" s="91"/>
      <c r="F75" s="91"/>
      <c r="G75" s="91"/>
      <c r="H75" s="102">
        <f>Основное!$D$3*Основное!I44</f>
        <v>182513.25306949308</v>
      </c>
      <c r="I75" s="75"/>
    </row>
    <row r="76" spans="1:18" ht="15">
      <c r="A76" s="113" t="s">
        <v>286</v>
      </c>
      <c r="B76" s="114" t="s">
        <v>132</v>
      </c>
      <c r="C76" s="91"/>
      <c r="D76" s="91"/>
      <c r="E76" s="91"/>
      <c r="F76" s="91"/>
      <c r="G76" s="91"/>
      <c r="H76" s="102">
        <f>Основное!$D$3*Основное!I45</f>
        <v>36867.677120037595</v>
      </c>
      <c r="I76" s="75"/>
    </row>
    <row r="77" spans="1:18" ht="15">
      <c r="A77" s="113" t="s">
        <v>287</v>
      </c>
      <c r="B77" s="114" t="s">
        <v>128</v>
      </c>
      <c r="C77" s="91"/>
      <c r="D77" s="91"/>
      <c r="E77" s="91"/>
      <c r="F77" s="91"/>
      <c r="G77" s="91"/>
      <c r="H77" s="102">
        <f>Основное!$D$3*Основное!I46</f>
        <v>5484.5798987356993</v>
      </c>
      <c r="I77" s="75"/>
    </row>
    <row r="78" spans="1:18" ht="15">
      <c r="A78" s="113" t="s">
        <v>288</v>
      </c>
      <c r="B78" s="114" t="s">
        <v>50</v>
      </c>
      <c r="C78" s="91"/>
      <c r="D78" s="91"/>
      <c r="E78" s="91"/>
      <c r="F78" s="91"/>
      <c r="G78" s="91"/>
      <c r="H78" s="102">
        <f>Основное!$D$3*Основное!I47</f>
        <v>6206.2818072619584</v>
      </c>
      <c r="I78" s="75"/>
    </row>
    <row r="79" spans="1:18">
      <c r="A79" s="119"/>
      <c r="B79" s="119"/>
      <c r="C79" s="119"/>
      <c r="D79" s="119"/>
      <c r="E79" s="119"/>
      <c r="F79" s="119"/>
      <c r="G79" s="119"/>
      <c r="H79" s="120"/>
      <c r="I79" s="117"/>
      <c r="J79" s="117"/>
    </row>
    <row r="80" spans="1:18" s="145" customFormat="1" ht="26.25" customHeight="1">
      <c r="A80" s="189" t="s">
        <v>4</v>
      </c>
      <c r="B80" s="189"/>
      <c r="C80" s="189"/>
      <c r="D80" s="189"/>
      <c r="E80" s="189"/>
      <c r="F80" s="189"/>
      <c r="G80" s="189"/>
      <c r="H80" s="189"/>
      <c r="I80" s="121"/>
      <c r="J80" s="121"/>
      <c r="K80" s="82"/>
    </row>
    <row r="81" spans="1:15" s="145" customFormat="1">
      <c r="A81" s="122"/>
      <c r="B81" s="215"/>
      <c r="C81" s="215"/>
      <c r="D81" s="215"/>
      <c r="E81" s="215"/>
      <c r="F81" s="215"/>
      <c r="G81" s="215"/>
      <c r="H81" s="215"/>
      <c r="I81" s="123"/>
      <c r="J81" s="123"/>
    </row>
    <row r="82" spans="1:15" s="145" customFormat="1" ht="15.75">
      <c r="A82" s="184" t="s">
        <v>259</v>
      </c>
      <c r="B82" s="184"/>
      <c r="C82" s="184"/>
      <c r="D82" s="184"/>
      <c r="E82" s="184"/>
      <c r="F82" s="184"/>
      <c r="G82" s="122"/>
      <c r="I82" s="122"/>
    </row>
    <row r="83" spans="1:15" s="145" customFormat="1" ht="15.75">
      <c r="A83" s="112"/>
      <c r="B83" s="112"/>
      <c r="C83" s="112"/>
      <c r="D83" s="112"/>
      <c r="E83" s="86"/>
      <c r="F83" s="124" t="s">
        <v>230</v>
      </c>
      <c r="H83" s="123"/>
      <c r="I83" s="123"/>
    </row>
    <row r="84" spans="1:15" s="145" customFormat="1" ht="29.25" customHeight="1">
      <c r="A84" s="125" t="s">
        <v>262</v>
      </c>
      <c r="B84" s="126" t="s">
        <v>231</v>
      </c>
      <c r="C84" s="126" t="s">
        <v>232</v>
      </c>
      <c r="D84" s="127" t="s">
        <v>257</v>
      </c>
      <c r="E84" s="127" t="s">
        <v>258</v>
      </c>
      <c r="F84" s="178" t="s">
        <v>290</v>
      </c>
      <c r="I84" s="123"/>
    </row>
    <row r="85" spans="1:15" s="83" customFormat="1" ht="15">
      <c r="A85" s="144">
        <v>513.24</v>
      </c>
      <c r="B85" s="142">
        <v>2160</v>
      </c>
      <c r="C85" s="144">
        <v>6000</v>
      </c>
      <c r="D85" s="142">
        <v>6000</v>
      </c>
      <c r="E85" s="142">
        <v>1800</v>
      </c>
      <c r="F85" s="179">
        <f>SUM(A85:E85)</f>
        <v>16473.239999999998</v>
      </c>
      <c r="G85" s="128"/>
      <c r="H85" s="128"/>
      <c r="I85" s="128"/>
    </row>
    <row r="86" spans="1:15" s="145" customFormat="1" ht="15">
      <c r="A86" s="129"/>
      <c r="B86" s="129"/>
      <c r="C86" s="130"/>
      <c r="D86" s="130"/>
      <c r="E86" s="130"/>
      <c r="F86" s="130"/>
      <c r="G86" s="82"/>
      <c r="H86" s="123"/>
      <c r="I86" s="123"/>
      <c r="J86" s="123"/>
    </row>
    <row r="87" spans="1:15" s="145" customFormat="1" ht="92.25" customHeight="1">
      <c r="A87" s="228" t="s">
        <v>51</v>
      </c>
      <c r="B87" s="228"/>
      <c r="C87" s="228"/>
      <c r="D87" s="228"/>
      <c r="E87" s="228"/>
      <c r="F87" s="228"/>
      <c r="G87" s="228"/>
      <c r="H87" s="228"/>
      <c r="I87" s="131"/>
      <c r="J87" s="131"/>
      <c r="K87" s="131"/>
      <c r="L87" s="131"/>
    </row>
    <row r="88" spans="1:15" ht="62.25" customHeight="1">
      <c r="A88" s="229" t="s">
        <v>52</v>
      </c>
      <c r="B88" s="229"/>
      <c r="C88" s="229"/>
      <c r="D88" s="229"/>
      <c r="E88" s="229"/>
      <c r="F88" s="229"/>
      <c r="G88" s="229"/>
      <c r="H88" s="229"/>
      <c r="I88" s="132"/>
      <c r="J88" s="132"/>
      <c r="K88" s="132"/>
      <c r="L88" s="132"/>
      <c r="M88" s="132"/>
      <c r="N88" s="132"/>
      <c r="O88" s="132"/>
    </row>
    <row r="89" spans="1:15">
      <c r="A89" s="133"/>
      <c r="B89" s="133"/>
      <c r="C89" s="133"/>
      <c r="D89" s="133"/>
      <c r="E89" s="133"/>
      <c r="F89" s="133"/>
      <c r="G89" s="133"/>
      <c r="H89" s="133"/>
      <c r="I89" s="133"/>
      <c r="J89" s="133"/>
      <c r="K89" s="133"/>
      <c r="L89" s="133"/>
    </row>
    <row r="90" spans="1:15" ht="15">
      <c r="A90" s="242" t="s">
        <v>176</v>
      </c>
      <c r="B90" s="242"/>
      <c r="C90" s="242"/>
      <c r="D90" s="242"/>
      <c r="E90" s="242"/>
      <c r="F90" s="242"/>
      <c r="G90" s="242"/>
      <c r="H90" s="242"/>
      <c r="I90" s="134"/>
      <c r="J90" s="135"/>
      <c r="K90" s="135"/>
      <c r="L90" s="135"/>
      <c r="M90" s="135"/>
      <c r="N90" s="135"/>
      <c r="O90" s="135"/>
    </row>
    <row r="91" spans="1:15" ht="15">
      <c r="A91" s="242" t="s">
        <v>238</v>
      </c>
      <c r="B91" s="242"/>
      <c r="C91" s="242"/>
      <c r="D91" s="242"/>
      <c r="E91" s="242"/>
      <c r="F91" s="242"/>
      <c r="G91" s="242"/>
      <c r="H91" s="242"/>
      <c r="I91" s="134"/>
      <c r="J91" s="135"/>
      <c r="K91" s="135"/>
      <c r="L91" s="135"/>
      <c r="M91" s="135"/>
      <c r="N91" s="135"/>
      <c r="O91" s="135"/>
    </row>
    <row r="92" spans="1:15" ht="14.25">
      <c r="A92" s="193" t="s">
        <v>233</v>
      </c>
      <c r="B92" s="193"/>
      <c r="C92" s="193"/>
      <c r="D92" s="193"/>
      <c r="E92" s="193"/>
      <c r="F92" s="193"/>
      <c r="G92" s="193"/>
      <c r="H92" s="193"/>
      <c r="I92" s="149"/>
      <c r="J92" s="149"/>
      <c r="K92" s="149"/>
      <c r="L92" s="149"/>
      <c r="M92" s="149"/>
      <c r="N92" s="149"/>
      <c r="O92" s="149"/>
    </row>
    <row r="93" spans="1:15" ht="15">
      <c r="A93" s="182" t="s">
        <v>239</v>
      </c>
      <c r="B93" s="182"/>
      <c r="C93" s="182"/>
      <c r="D93" s="182"/>
      <c r="E93" s="182"/>
      <c r="F93" s="182"/>
      <c r="G93" s="182"/>
      <c r="H93" s="182"/>
      <c r="I93" s="136"/>
      <c r="J93" s="137"/>
      <c r="K93" s="137"/>
      <c r="L93" s="137"/>
      <c r="M93" s="137"/>
      <c r="N93" s="137"/>
      <c r="O93" s="137"/>
    </row>
    <row r="94" spans="1:15" ht="15">
      <c r="A94" s="183" t="s">
        <v>234</v>
      </c>
      <c r="B94" s="183"/>
      <c r="C94" s="183"/>
      <c r="D94" s="183"/>
      <c r="E94" s="183"/>
      <c r="F94" s="183"/>
      <c r="G94" s="183"/>
      <c r="H94" s="183"/>
      <c r="I94" s="138"/>
      <c r="J94" s="139"/>
      <c r="K94" s="139"/>
      <c r="L94" s="139"/>
      <c r="M94" s="139"/>
      <c r="N94" s="139"/>
      <c r="O94" s="139"/>
    </row>
  </sheetData>
  <mergeCells count="46">
    <mergeCell ref="A31:H31"/>
    <mergeCell ref="A24:B24"/>
    <mergeCell ref="C50:G50"/>
    <mergeCell ref="A28:J28"/>
    <mergeCell ref="A21:B23"/>
    <mergeCell ref="C33:G33"/>
    <mergeCell ref="A46:B46"/>
    <mergeCell ref="A33:B33"/>
    <mergeCell ref="C46:G46"/>
    <mergeCell ref="B63:G63"/>
    <mergeCell ref="A47:B51"/>
    <mergeCell ref="A56:H56"/>
    <mergeCell ref="A54:H54"/>
    <mergeCell ref="C32:D32"/>
    <mergeCell ref="E32:F32"/>
    <mergeCell ref="C51:G51"/>
    <mergeCell ref="C37:G37"/>
    <mergeCell ref="A42:H42"/>
    <mergeCell ref="A34:B40"/>
    <mergeCell ref="A1:H1"/>
    <mergeCell ref="A2:H2"/>
    <mergeCell ref="A3:H3"/>
    <mergeCell ref="H21:H23"/>
    <mergeCell ref="A17:H17"/>
    <mergeCell ref="A19:H19"/>
    <mergeCell ref="C21:C23"/>
    <mergeCell ref="B20:F20"/>
    <mergeCell ref="D21:D23"/>
    <mergeCell ref="E21:E23"/>
    <mergeCell ref="E5:H7"/>
    <mergeCell ref="F21:F23"/>
    <mergeCell ref="G21:G23"/>
    <mergeCell ref="C49:G49"/>
    <mergeCell ref="A92:H92"/>
    <mergeCell ref="A93:H93"/>
    <mergeCell ref="B81:H81"/>
    <mergeCell ref="A58:G58"/>
    <mergeCell ref="B59:G59"/>
    <mergeCell ref="A44:H44"/>
    <mergeCell ref="A94:H94"/>
    <mergeCell ref="A80:H80"/>
    <mergeCell ref="A82:F82"/>
    <mergeCell ref="A87:H87"/>
    <mergeCell ref="A88:H88"/>
    <mergeCell ref="A90:H90"/>
    <mergeCell ref="A91:H91"/>
  </mergeCells>
  <phoneticPr fontId="11" type="noConversion"/>
  <hyperlinks>
    <hyperlink ref="A92" r:id="rId1" display="blgorod@rambler.ru,"/>
  </hyperlinks>
  <pageMargins left="0.78740157480314965" right="0.78740157480314965" top="0.78740157480314965" bottom="0.82677165354330717" header="0.51181102362204722" footer="0.51181102362204722"/>
  <pageSetup paperSize="9" scale="75" orientation="portrait" verticalDpi="360" r:id="rId2"/>
  <headerFooter alignWithMargins="0"/>
  <rowBreaks count="1" manualBreakCount="1">
    <brk id="55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R100"/>
  <sheetViews>
    <sheetView view="pageBreakPreview" topLeftCell="A85" zoomScaleSheetLayoutView="100" workbookViewId="0">
      <selection activeCell="G92" sqref="G92"/>
    </sheetView>
  </sheetViews>
  <sheetFormatPr defaultRowHeight="12.75"/>
  <cols>
    <col min="1" max="1" width="12.42578125" style="140" customWidth="1"/>
    <col min="2" max="2" width="11.85546875" style="140" customWidth="1"/>
    <col min="3" max="3" width="14.140625" style="140" customWidth="1"/>
    <col min="4" max="4" width="12.7109375" style="140" customWidth="1"/>
    <col min="5" max="5" width="18.140625" style="140" customWidth="1"/>
    <col min="6" max="6" width="15.140625" style="140" customWidth="1"/>
    <col min="7" max="7" width="17.85546875" style="140" customWidth="1"/>
    <col min="8" max="8" width="13.140625" style="140" customWidth="1"/>
    <col min="9" max="9" width="15.28515625" style="140" customWidth="1"/>
    <col min="10" max="10" width="3.5703125" style="140" customWidth="1"/>
    <col min="11" max="12" width="9.140625" style="140"/>
    <col min="13" max="13" width="0.5703125" style="140" customWidth="1"/>
    <col min="14" max="15" width="9.140625" style="140"/>
    <col min="16" max="16" width="1.42578125" style="140" customWidth="1"/>
    <col min="17" max="16384" width="9.140625" style="140"/>
  </cols>
  <sheetData>
    <row r="1" spans="1:16" ht="18">
      <c r="A1" s="241" t="s">
        <v>235</v>
      </c>
      <c r="B1" s="241"/>
      <c r="C1" s="241"/>
      <c r="D1" s="241"/>
      <c r="E1" s="241"/>
      <c r="F1" s="241"/>
      <c r="G1" s="241"/>
      <c r="H1" s="241"/>
      <c r="I1" s="62"/>
      <c r="J1" s="62"/>
      <c r="K1" s="62"/>
      <c r="L1" s="62"/>
      <c r="M1" s="62"/>
      <c r="N1" s="62"/>
      <c r="O1" s="62"/>
    </row>
    <row r="2" spans="1:16" ht="18">
      <c r="A2" s="241" t="s">
        <v>241</v>
      </c>
      <c r="B2" s="241"/>
      <c r="C2" s="241"/>
      <c r="D2" s="241"/>
      <c r="E2" s="241"/>
      <c r="F2" s="241"/>
      <c r="G2" s="241"/>
      <c r="H2" s="241"/>
      <c r="I2" s="62"/>
      <c r="J2" s="62"/>
      <c r="K2" s="62"/>
      <c r="L2" s="62"/>
      <c r="M2" s="62"/>
      <c r="N2" s="62"/>
      <c r="O2" s="62"/>
    </row>
    <row r="3" spans="1:16" ht="18">
      <c r="A3" s="194" t="s">
        <v>58</v>
      </c>
      <c r="B3" s="194"/>
      <c r="C3" s="194"/>
      <c r="D3" s="194"/>
      <c r="E3" s="194"/>
      <c r="F3" s="194"/>
      <c r="G3" s="194"/>
      <c r="H3" s="194"/>
      <c r="I3" s="63"/>
      <c r="J3" s="63"/>
      <c r="K3" s="63"/>
      <c r="L3" s="63"/>
      <c r="M3" s="63"/>
      <c r="N3" s="63"/>
      <c r="O3" s="63"/>
    </row>
    <row r="4" spans="1:16" ht="18">
      <c r="A4" s="63"/>
      <c r="B4" s="63"/>
      <c r="C4" s="63"/>
      <c r="D4" s="63"/>
      <c r="E4" s="63"/>
      <c r="F4" s="63"/>
      <c r="G4" s="63"/>
      <c r="H4" s="63"/>
      <c r="I4" s="63"/>
      <c r="J4" s="63"/>
      <c r="K4" s="64"/>
      <c r="L4" s="64"/>
      <c r="M4" s="64"/>
      <c r="N4" s="64"/>
      <c r="O4" s="64"/>
      <c r="P4" s="64"/>
    </row>
    <row r="5" spans="1:16" s="67" customFormat="1" ht="14.25" customHeight="1">
      <c r="A5" s="65" t="s">
        <v>184</v>
      </c>
      <c r="B5" s="65"/>
      <c r="C5" s="65"/>
      <c r="D5" s="65"/>
      <c r="E5" s="196" t="s">
        <v>59</v>
      </c>
      <c r="F5" s="196"/>
      <c r="G5" s="196"/>
      <c r="H5" s="196"/>
      <c r="I5" s="66"/>
      <c r="J5" s="66"/>
    </row>
    <row r="6" spans="1:16" s="67" customFormat="1" ht="14.25">
      <c r="A6" s="65" t="s">
        <v>96</v>
      </c>
      <c r="B6" s="65"/>
      <c r="C6" s="65"/>
      <c r="D6" s="65"/>
      <c r="E6" s="196"/>
      <c r="F6" s="196"/>
      <c r="G6" s="196"/>
      <c r="H6" s="196"/>
      <c r="I6" s="66"/>
      <c r="J6" s="66"/>
    </row>
    <row r="7" spans="1:16" s="67" customFormat="1" ht="28.5" customHeight="1">
      <c r="A7" s="65" t="s">
        <v>2</v>
      </c>
      <c r="B7" s="65"/>
      <c r="C7" s="65"/>
      <c r="D7" s="65"/>
      <c r="E7" s="196"/>
      <c r="F7" s="196"/>
      <c r="G7" s="196"/>
      <c r="H7" s="196"/>
      <c r="I7" s="66"/>
      <c r="J7" s="66"/>
    </row>
    <row r="8" spans="1:16" s="67" customFormat="1" ht="14.25">
      <c r="A8" s="65" t="s">
        <v>3</v>
      </c>
      <c r="B8" s="65"/>
      <c r="C8" s="65"/>
      <c r="D8" s="65"/>
      <c r="E8" s="66"/>
      <c r="F8" s="66"/>
      <c r="G8" s="66"/>
      <c r="H8" s="66"/>
      <c r="I8" s="68"/>
      <c r="J8" s="68"/>
    </row>
    <row r="9" spans="1:16" s="67" customFormat="1" ht="14.25">
      <c r="A9" s="65" t="s">
        <v>97</v>
      </c>
      <c r="B9" s="65"/>
      <c r="C9" s="65"/>
      <c r="D9" s="65"/>
      <c r="E9" s="68" t="s">
        <v>211</v>
      </c>
      <c r="F9" s="66"/>
      <c r="G9" s="66"/>
      <c r="H9" s="66"/>
      <c r="I9" s="66"/>
      <c r="J9" s="66"/>
    </row>
    <row r="10" spans="1:16" s="67" customFormat="1" ht="14.25">
      <c r="A10" s="65" t="s">
        <v>114</v>
      </c>
      <c r="B10" s="65"/>
      <c r="C10" s="65"/>
      <c r="D10" s="65"/>
      <c r="F10" s="68"/>
      <c r="G10" s="68"/>
      <c r="H10" s="68"/>
      <c r="I10" s="68"/>
      <c r="J10" s="68"/>
    </row>
    <row r="11" spans="1:16" s="67" customFormat="1" ht="14.25">
      <c r="A11" s="65" t="s">
        <v>115</v>
      </c>
      <c r="B11" s="65"/>
      <c r="C11" s="65"/>
      <c r="D11" s="65"/>
      <c r="E11" s="65" t="s">
        <v>212</v>
      </c>
      <c r="F11" s="65"/>
      <c r="G11" s="65" t="s">
        <v>60</v>
      </c>
      <c r="I11" s="65"/>
      <c r="J11" s="65"/>
    </row>
    <row r="12" spans="1:16" s="67" customFormat="1" ht="14.25">
      <c r="A12" s="65" t="s">
        <v>185</v>
      </c>
      <c r="B12" s="65"/>
      <c r="C12" s="65"/>
      <c r="D12" s="65"/>
      <c r="E12" s="65" t="s">
        <v>213</v>
      </c>
      <c r="F12" s="65"/>
      <c r="G12" s="65" t="s">
        <v>251</v>
      </c>
      <c r="I12" s="65"/>
      <c r="J12" s="65"/>
    </row>
    <row r="13" spans="1:16" s="67" customFormat="1" ht="14.25">
      <c r="A13" s="65" t="s">
        <v>186</v>
      </c>
      <c r="B13" s="65"/>
      <c r="C13" s="65"/>
      <c r="D13" s="65"/>
      <c r="E13" s="65" t="s">
        <v>214</v>
      </c>
      <c r="F13" s="65"/>
      <c r="G13" s="65" t="s">
        <v>27</v>
      </c>
      <c r="I13" s="65"/>
      <c r="J13" s="65"/>
    </row>
    <row r="14" spans="1:16" s="67" customFormat="1" ht="14.25">
      <c r="A14" s="65" t="s">
        <v>187</v>
      </c>
      <c r="B14" s="65"/>
      <c r="C14" s="65"/>
      <c r="D14" s="65"/>
      <c r="E14" s="65" t="s">
        <v>215</v>
      </c>
      <c r="F14" s="65"/>
      <c r="G14" s="65" t="s">
        <v>216</v>
      </c>
      <c r="I14" s="65"/>
      <c r="J14" s="65"/>
    </row>
    <row r="15" spans="1:16" s="67" customFormat="1" ht="14.25">
      <c r="A15" s="65" t="s">
        <v>188</v>
      </c>
      <c r="B15" s="65"/>
      <c r="C15" s="65"/>
      <c r="D15" s="65"/>
      <c r="E15" s="65" t="s">
        <v>217</v>
      </c>
      <c r="F15" s="65"/>
      <c r="G15" s="65" t="s">
        <v>61</v>
      </c>
      <c r="I15" s="65"/>
      <c r="J15" s="65"/>
    </row>
    <row r="16" spans="1:16" ht="18.75">
      <c r="A16" s="69"/>
      <c r="B16" s="69"/>
      <c r="C16" s="69"/>
      <c r="D16" s="69"/>
      <c r="E16" s="69"/>
      <c r="F16" s="70"/>
      <c r="G16" s="70"/>
      <c r="H16" s="70"/>
      <c r="I16" s="70"/>
      <c r="J16" s="70"/>
      <c r="K16" s="71"/>
      <c r="L16" s="71"/>
      <c r="M16" s="71"/>
      <c r="N16" s="71"/>
      <c r="O16" s="71"/>
      <c r="P16" s="71"/>
    </row>
    <row r="17" spans="1:16" ht="30" customHeight="1">
      <c r="A17" s="185" t="s">
        <v>72</v>
      </c>
      <c r="B17" s="185"/>
      <c r="C17" s="185"/>
      <c r="D17" s="185"/>
      <c r="E17" s="185"/>
      <c r="F17" s="185"/>
      <c r="G17" s="185"/>
      <c r="H17" s="185"/>
      <c r="I17" s="66"/>
      <c r="J17" s="66"/>
      <c r="K17" s="72"/>
      <c r="L17" s="72"/>
      <c r="M17" s="72"/>
      <c r="N17" s="72"/>
      <c r="O17" s="72"/>
      <c r="P17" s="72"/>
    </row>
    <row r="18" spans="1:16" ht="15.75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2"/>
      <c r="L18" s="72"/>
      <c r="M18" s="72"/>
      <c r="N18" s="72"/>
      <c r="O18" s="72"/>
      <c r="P18" s="72"/>
    </row>
    <row r="19" spans="1:16" ht="15.75">
      <c r="A19" s="188" t="s">
        <v>63</v>
      </c>
      <c r="B19" s="188"/>
      <c r="C19" s="188"/>
      <c r="D19" s="188"/>
      <c r="E19" s="188"/>
      <c r="F19" s="188"/>
      <c r="G19" s="188"/>
      <c r="H19" s="188"/>
      <c r="I19" s="74"/>
      <c r="J19" s="74"/>
      <c r="K19" s="74"/>
      <c r="L19" s="74"/>
      <c r="M19" s="74"/>
      <c r="N19" s="74"/>
      <c r="O19" s="74"/>
      <c r="P19" s="74"/>
    </row>
    <row r="20" spans="1:16" ht="15.75">
      <c r="A20" s="75"/>
      <c r="B20" s="224"/>
      <c r="C20" s="224"/>
      <c r="D20" s="224"/>
      <c r="E20" s="224"/>
      <c r="F20" s="224"/>
      <c r="G20" s="75"/>
      <c r="H20" s="76" t="s">
        <v>218</v>
      </c>
      <c r="I20" s="76"/>
      <c r="K20" s="72"/>
      <c r="M20" s="72"/>
      <c r="N20" s="72"/>
      <c r="O20" s="77"/>
    </row>
    <row r="21" spans="1:16" s="67" customFormat="1" ht="15" customHeight="1">
      <c r="A21" s="225" t="s">
        <v>219</v>
      </c>
      <c r="B21" s="235"/>
      <c r="C21" s="238" t="s">
        <v>253</v>
      </c>
      <c r="D21" s="238" t="s">
        <v>220</v>
      </c>
      <c r="E21" s="243" t="s">
        <v>10</v>
      </c>
      <c r="F21" s="225" t="s">
        <v>252</v>
      </c>
      <c r="G21" s="209" t="s">
        <v>221</v>
      </c>
      <c r="H21" s="195" t="s">
        <v>222</v>
      </c>
      <c r="I21" s="78"/>
    </row>
    <row r="22" spans="1:16" s="67" customFormat="1" ht="15" customHeight="1">
      <c r="A22" s="226"/>
      <c r="B22" s="236"/>
      <c r="C22" s="239"/>
      <c r="D22" s="239"/>
      <c r="E22" s="244"/>
      <c r="F22" s="226"/>
      <c r="G22" s="210"/>
      <c r="H22" s="195"/>
      <c r="I22" s="78"/>
    </row>
    <row r="23" spans="1:16" s="67" customFormat="1" ht="75" customHeight="1">
      <c r="A23" s="227"/>
      <c r="B23" s="237"/>
      <c r="C23" s="240"/>
      <c r="D23" s="240"/>
      <c r="E23" s="245"/>
      <c r="F23" s="227"/>
      <c r="G23" s="211"/>
      <c r="H23" s="195"/>
      <c r="I23" s="78"/>
    </row>
    <row r="24" spans="1:16" s="81" customFormat="1" ht="14.25">
      <c r="A24" s="246">
        <v>19608</v>
      </c>
      <c r="B24" s="247"/>
      <c r="C24" s="141">
        <v>146957.88</v>
      </c>
      <c r="D24" s="142">
        <v>147006.81</v>
      </c>
      <c r="E24" s="142">
        <v>40332.839999999997</v>
      </c>
      <c r="F24" s="141">
        <f>C24-D24</f>
        <v>-48.929999999993015</v>
      </c>
      <c r="G24" s="143">
        <v>34218</v>
      </c>
      <c r="H24" s="144">
        <f>A24+D24+E24-G24</f>
        <v>172729.65</v>
      </c>
      <c r="I24" s="79"/>
      <c r="J24" s="80"/>
    </row>
    <row r="25" spans="1:16" ht="15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2"/>
      <c r="L25" s="72"/>
      <c r="M25" s="72"/>
      <c r="N25" s="72"/>
      <c r="O25" s="72"/>
      <c r="P25" s="72"/>
    </row>
    <row r="26" spans="1:16" ht="14.25">
      <c r="A26" s="65" t="s">
        <v>64</v>
      </c>
      <c r="B26" s="65"/>
      <c r="C26" s="65"/>
      <c r="D26" s="65"/>
      <c r="E26" s="65"/>
      <c r="F26" s="65"/>
      <c r="G26" s="84"/>
      <c r="H26" s="84"/>
      <c r="I26" s="65"/>
      <c r="J26" s="65"/>
      <c r="K26" s="67"/>
      <c r="L26" s="67"/>
      <c r="M26" s="67"/>
      <c r="N26" s="67"/>
      <c r="O26" s="67"/>
      <c r="P26" s="67"/>
    </row>
    <row r="27" spans="1:16" ht="14.25">
      <c r="A27" s="65" t="s">
        <v>255</v>
      </c>
      <c r="B27" s="65"/>
      <c r="C27" s="65"/>
      <c r="D27" s="65"/>
      <c r="E27" s="65"/>
      <c r="F27" s="65"/>
      <c r="G27" s="84"/>
      <c r="H27" s="84"/>
      <c r="I27" s="65"/>
      <c r="J27" s="67"/>
      <c r="K27" s="67"/>
      <c r="L27" s="67"/>
      <c r="M27" s="67"/>
      <c r="N27" s="67"/>
      <c r="O27" s="67"/>
    </row>
    <row r="28" spans="1:16" ht="15" customHeight="1">
      <c r="A28" s="185" t="s">
        <v>248</v>
      </c>
      <c r="B28" s="185"/>
      <c r="C28" s="185"/>
      <c r="D28" s="185"/>
      <c r="E28" s="185"/>
      <c r="F28" s="185"/>
      <c r="G28" s="185"/>
      <c r="H28" s="66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65" t="s">
        <v>249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</row>
    <row r="30" spans="1:16" ht="15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</row>
    <row r="31" spans="1:16" s="145" customFormat="1" ht="15.75">
      <c r="A31" s="184" t="s">
        <v>223</v>
      </c>
      <c r="B31" s="184"/>
      <c r="C31" s="184"/>
      <c r="D31" s="184"/>
      <c r="E31" s="184"/>
      <c r="F31" s="184"/>
      <c r="G31" s="184"/>
      <c r="H31" s="184"/>
      <c r="I31" s="86"/>
      <c r="J31" s="86"/>
    </row>
    <row r="32" spans="1:16" s="145" customFormat="1">
      <c r="A32" s="87"/>
      <c r="B32" s="146"/>
      <c r="C32" s="248"/>
      <c r="D32" s="248"/>
      <c r="E32" s="249"/>
      <c r="F32" s="249"/>
      <c r="G32" s="146"/>
      <c r="H32" s="88" t="s">
        <v>224</v>
      </c>
      <c r="I32" s="88"/>
    </row>
    <row r="33" spans="1:18" s="145" customFormat="1" ht="15.75">
      <c r="A33" s="190" t="s">
        <v>112</v>
      </c>
      <c r="B33" s="191"/>
      <c r="C33" s="218" t="s">
        <v>47</v>
      </c>
      <c r="D33" s="219"/>
      <c r="E33" s="219"/>
      <c r="F33" s="219"/>
      <c r="G33" s="220"/>
      <c r="H33" s="89" t="s">
        <v>225</v>
      </c>
      <c r="L33" s="251"/>
      <c r="M33" s="251"/>
      <c r="N33" s="251"/>
      <c r="O33" s="251"/>
      <c r="P33" s="251"/>
      <c r="Q33" s="251"/>
      <c r="R33" s="251"/>
    </row>
    <row r="34" spans="1:18" s="145" customFormat="1" ht="15" customHeight="1">
      <c r="A34" s="203" t="s">
        <v>242</v>
      </c>
      <c r="B34" s="204"/>
      <c r="C34" s="114" t="s">
        <v>94</v>
      </c>
      <c r="D34" s="91"/>
      <c r="E34" s="91"/>
      <c r="F34" s="91"/>
      <c r="G34" s="91"/>
      <c r="H34" s="152">
        <f>4143</f>
        <v>4143</v>
      </c>
      <c r="L34" s="251"/>
      <c r="M34" s="251"/>
      <c r="N34" s="251"/>
      <c r="O34" s="251"/>
      <c r="P34" s="251"/>
      <c r="Q34" s="251"/>
      <c r="R34" s="251"/>
    </row>
    <row r="35" spans="1:18" s="145" customFormat="1" ht="15" customHeight="1">
      <c r="A35" s="205"/>
      <c r="B35" s="206"/>
      <c r="C35" s="114" t="s">
        <v>254</v>
      </c>
      <c r="D35" s="91"/>
      <c r="E35" s="91"/>
      <c r="F35" s="91"/>
      <c r="G35" s="91"/>
      <c r="H35" s="152">
        <f>5401+7740</f>
        <v>13141</v>
      </c>
      <c r="L35" s="251"/>
      <c r="M35" s="251"/>
      <c r="N35" s="251"/>
      <c r="O35" s="251"/>
      <c r="P35" s="251"/>
      <c r="Q35" s="251"/>
      <c r="R35" s="251"/>
    </row>
    <row r="36" spans="1:18" s="145" customFormat="1" ht="15" customHeight="1">
      <c r="A36" s="205"/>
      <c r="B36" s="206"/>
      <c r="C36" s="114" t="s">
        <v>93</v>
      </c>
      <c r="D36" s="91"/>
      <c r="E36" s="91"/>
      <c r="F36" s="91"/>
      <c r="G36" s="91"/>
      <c r="H36" s="152">
        <f>5626+6171+4371</f>
        <v>16168</v>
      </c>
      <c r="L36" s="251"/>
      <c r="M36" s="251"/>
      <c r="N36" s="251"/>
      <c r="O36" s="251"/>
      <c r="P36" s="251"/>
      <c r="Q36" s="251"/>
      <c r="R36" s="251"/>
    </row>
    <row r="37" spans="1:18" s="145" customFormat="1" ht="15" customHeight="1">
      <c r="A37" s="205"/>
      <c r="B37" s="206"/>
      <c r="C37" s="114" t="s">
        <v>41</v>
      </c>
      <c r="D37" s="91"/>
      <c r="E37" s="91"/>
      <c r="F37" s="91"/>
      <c r="G37" s="91"/>
      <c r="H37" s="152">
        <f>766</f>
        <v>766</v>
      </c>
      <c r="K37" s="147"/>
      <c r="L37" s="251"/>
      <c r="M37" s="251"/>
      <c r="N37" s="251"/>
      <c r="O37" s="251"/>
      <c r="P37" s="251"/>
      <c r="Q37" s="251"/>
      <c r="R37" s="251"/>
    </row>
    <row r="38" spans="1:18" s="145" customFormat="1" ht="15" customHeight="1">
      <c r="A38" s="205"/>
      <c r="B38" s="206"/>
      <c r="C38" s="114"/>
      <c r="D38" s="91"/>
      <c r="E38" s="91"/>
      <c r="F38" s="91"/>
      <c r="G38" s="91"/>
      <c r="H38" s="151">
        <f>SUM(H34:H37)</f>
        <v>34218</v>
      </c>
      <c r="K38" s="147"/>
      <c r="L38" s="162"/>
      <c r="M38" s="162"/>
      <c r="N38" s="162"/>
      <c r="O38" s="162"/>
      <c r="P38" s="162"/>
      <c r="Q38" s="162"/>
      <c r="R38" s="162"/>
    </row>
    <row r="39" spans="1:18" s="145" customFormat="1" ht="15.75">
      <c r="A39" s="205"/>
      <c r="B39" s="206"/>
      <c r="C39" s="218" t="s">
        <v>48</v>
      </c>
      <c r="D39" s="219"/>
      <c r="E39" s="219"/>
      <c r="F39" s="219"/>
      <c r="G39" s="220"/>
      <c r="H39" s="151"/>
      <c r="L39" s="251"/>
      <c r="M39" s="251"/>
      <c r="N39" s="251"/>
      <c r="O39" s="251"/>
      <c r="P39" s="251"/>
      <c r="Q39" s="251"/>
      <c r="R39" s="251"/>
    </row>
    <row r="40" spans="1:18" s="145" customFormat="1" ht="14.25">
      <c r="A40" s="205"/>
      <c r="B40" s="206"/>
      <c r="C40" s="200" t="s">
        <v>36</v>
      </c>
      <c r="D40" s="201"/>
      <c r="E40" s="201"/>
      <c r="F40" s="201"/>
      <c r="G40" s="202"/>
      <c r="H40" s="152">
        <f>41600+12800</f>
        <v>54400</v>
      </c>
      <c r="L40" s="162"/>
      <c r="M40" s="162"/>
      <c r="N40" s="162"/>
      <c r="O40" s="162"/>
      <c r="P40" s="162"/>
      <c r="Q40" s="162"/>
      <c r="R40" s="162"/>
    </row>
    <row r="41" spans="1:18" s="145" customFormat="1" ht="14.25">
      <c r="A41" s="205"/>
      <c r="B41" s="206"/>
      <c r="C41" s="155" t="s">
        <v>65</v>
      </c>
      <c r="D41" s="156"/>
      <c r="E41" s="156"/>
      <c r="F41" s="156"/>
      <c r="G41" s="156"/>
      <c r="H41" s="152">
        <f>13640</f>
        <v>13640</v>
      </c>
      <c r="L41" s="162"/>
      <c r="M41" s="162"/>
      <c r="N41" s="162"/>
      <c r="O41" s="162"/>
      <c r="P41" s="162"/>
      <c r="Q41" s="162"/>
      <c r="R41" s="162"/>
    </row>
    <row r="42" spans="1:18" s="145" customFormat="1" ht="14.25">
      <c r="A42" s="205"/>
      <c r="B42" s="206"/>
      <c r="C42" s="155" t="s">
        <v>87</v>
      </c>
      <c r="D42" s="156"/>
      <c r="E42" s="156"/>
      <c r="F42" s="156"/>
      <c r="G42" s="156"/>
      <c r="H42" s="152">
        <f>9000+9000</f>
        <v>18000</v>
      </c>
      <c r="L42" s="162"/>
      <c r="M42" s="162"/>
      <c r="N42" s="162"/>
      <c r="O42" s="162"/>
      <c r="P42" s="162"/>
      <c r="Q42" s="162"/>
      <c r="R42" s="162"/>
    </row>
    <row r="43" spans="1:18" s="145" customFormat="1" ht="15.75">
      <c r="A43" s="205"/>
      <c r="B43" s="206"/>
      <c r="C43" s="114" t="s">
        <v>254</v>
      </c>
      <c r="D43" s="170"/>
      <c r="E43" s="170"/>
      <c r="F43" s="170"/>
      <c r="G43" s="170"/>
      <c r="H43" s="152">
        <f>11074+17391+18178</f>
        <v>46643</v>
      </c>
      <c r="L43" s="162"/>
      <c r="M43" s="162"/>
      <c r="N43" s="162"/>
      <c r="O43" s="162"/>
      <c r="P43" s="162"/>
      <c r="Q43" s="162"/>
      <c r="R43" s="162"/>
    </row>
    <row r="44" spans="1:18" s="145" customFormat="1" ht="14.25">
      <c r="A44" s="207"/>
      <c r="B44" s="208"/>
      <c r="C44" s="114" t="s">
        <v>94</v>
      </c>
      <c r="D44" s="91"/>
      <c r="E44" s="91"/>
      <c r="F44" s="91"/>
      <c r="G44" s="91"/>
      <c r="H44" s="102">
        <f>5237</f>
        <v>5237</v>
      </c>
    </row>
    <row r="45" spans="1:18">
      <c r="A45" s="95"/>
      <c r="B45" s="95"/>
      <c r="C45" s="95"/>
      <c r="D45" s="95"/>
      <c r="E45" s="96"/>
      <c r="F45" s="96"/>
      <c r="G45" s="96"/>
      <c r="H45" s="96"/>
      <c r="I45" s="96"/>
      <c r="J45" s="96"/>
    </row>
    <row r="46" spans="1:18" ht="42.75" customHeight="1">
      <c r="A46" s="185" t="s">
        <v>73</v>
      </c>
      <c r="B46" s="185"/>
      <c r="C46" s="185"/>
      <c r="D46" s="185"/>
      <c r="E46" s="185"/>
      <c r="F46" s="185"/>
      <c r="G46" s="185"/>
      <c r="H46" s="185"/>
      <c r="I46" s="66"/>
      <c r="J46" s="66"/>
    </row>
    <row r="47" spans="1:18">
      <c r="A47" s="95"/>
      <c r="B47" s="95"/>
      <c r="C47" s="95"/>
      <c r="D47" s="95"/>
      <c r="E47" s="96"/>
      <c r="F47" s="96"/>
      <c r="G47" s="96"/>
      <c r="H47" s="96"/>
      <c r="I47" s="96"/>
      <c r="J47" s="96"/>
    </row>
    <row r="48" spans="1:18" ht="33" customHeight="1">
      <c r="A48" s="186" t="s">
        <v>49</v>
      </c>
      <c r="B48" s="186"/>
      <c r="C48" s="186"/>
      <c r="D48" s="186"/>
      <c r="E48" s="186"/>
      <c r="F48" s="186"/>
      <c r="G48" s="186"/>
      <c r="H48" s="186"/>
      <c r="I48" s="97"/>
      <c r="J48" s="97"/>
      <c r="K48" s="74"/>
      <c r="L48" s="74"/>
      <c r="M48" s="74"/>
      <c r="N48" s="74"/>
      <c r="O48" s="74"/>
      <c r="P48" s="74"/>
    </row>
    <row r="49" spans="1:16" ht="15">
      <c r="A49" s="98"/>
      <c r="B49" s="98"/>
      <c r="C49" s="98"/>
      <c r="D49" s="98"/>
      <c r="E49" s="98"/>
      <c r="F49" s="98"/>
      <c r="G49" s="98"/>
      <c r="H49" s="99" t="s">
        <v>227</v>
      </c>
      <c r="J49" s="98"/>
      <c r="M49" s="98"/>
      <c r="N49" s="98"/>
      <c r="O49" s="98"/>
      <c r="P49" s="98"/>
    </row>
    <row r="50" spans="1:16" ht="15.75">
      <c r="A50" s="218" t="s">
        <v>112</v>
      </c>
      <c r="B50" s="220"/>
      <c r="C50" s="218" t="s">
        <v>47</v>
      </c>
      <c r="D50" s="219"/>
      <c r="E50" s="219"/>
      <c r="F50" s="219"/>
      <c r="G50" s="220"/>
      <c r="H50" s="89" t="s">
        <v>225</v>
      </c>
      <c r="I50" s="98"/>
      <c r="J50" s="98"/>
      <c r="K50" s="98"/>
      <c r="L50" s="98"/>
    </row>
    <row r="51" spans="1:16" ht="15" customHeight="1">
      <c r="A51" s="205" t="s">
        <v>242</v>
      </c>
      <c r="B51" s="206"/>
      <c r="C51" s="114" t="s">
        <v>134</v>
      </c>
      <c r="D51" s="100"/>
      <c r="E51" s="100"/>
      <c r="F51" s="100"/>
      <c r="G51" s="101"/>
      <c r="H51" s="102">
        <f>H73</f>
        <v>11063.522464566131</v>
      </c>
      <c r="I51" s="98"/>
      <c r="J51" s="98"/>
      <c r="K51" s="98"/>
      <c r="L51" s="98"/>
    </row>
    <row r="52" spans="1:16" ht="15" customHeight="1">
      <c r="A52" s="205"/>
      <c r="B52" s="206"/>
      <c r="C52" s="67" t="s">
        <v>35</v>
      </c>
      <c r="D52" s="100"/>
      <c r="E52" s="100"/>
      <c r="F52" s="100"/>
      <c r="G52" s="101"/>
      <c r="H52" s="102">
        <f>728+728</f>
        <v>1456</v>
      </c>
      <c r="I52" s="98"/>
      <c r="J52" s="98"/>
      <c r="K52" s="98"/>
      <c r="L52" s="98"/>
    </row>
    <row r="53" spans="1:16" ht="15" customHeight="1">
      <c r="A53" s="205"/>
      <c r="B53" s="206"/>
      <c r="C53" s="197" t="s">
        <v>42</v>
      </c>
      <c r="D53" s="198"/>
      <c r="E53" s="198"/>
      <c r="F53" s="198"/>
      <c r="G53" s="199"/>
      <c r="H53" s="102">
        <f>2238+2167</f>
        <v>4405</v>
      </c>
      <c r="I53" s="98"/>
      <c r="J53" s="98"/>
      <c r="K53" s="98"/>
      <c r="L53" s="98"/>
    </row>
    <row r="54" spans="1:16" ht="15.75">
      <c r="A54" s="205"/>
      <c r="B54" s="206"/>
      <c r="C54" s="218" t="s">
        <v>48</v>
      </c>
      <c r="D54" s="219"/>
      <c r="E54" s="219"/>
      <c r="F54" s="219"/>
      <c r="G54" s="220"/>
      <c r="H54" s="165"/>
      <c r="I54" s="98"/>
      <c r="J54" s="98"/>
      <c r="K54" s="98"/>
      <c r="L54" s="98"/>
    </row>
    <row r="55" spans="1:16" ht="15">
      <c r="A55" s="207"/>
      <c r="B55" s="208"/>
      <c r="C55" s="250" t="s">
        <v>228</v>
      </c>
      <c r="D55" s="221"/>
      <c r="E55" s="221"/>
      <c r="F55" s="221"/>
      <c r="G55" s="222"/>
      <c r="H55" s="102">
        <v>6801.02</v>
      </c>
      <c r="I55" s="98"/>
      <c r="J55" s="98"/>
      <c r="K55" s="98"/>
      <c r="L55" s="98"/>
    </row>
    <row r="56" spans="1:16">
      <c r="A56" s="95"/>
      <c r="B56" s="95"/>
      <c r="I56" s="96"/>
      <c r="J56" s="96"/>
    </row>
    <row r="57" spans="1:16">
      <c r="A57" s="90" t="s">
        <v>189</v>
      </c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</row>
    <row r="58" spans="1:16" ht="18" customHeight="1">
      <c r="A58" s="187" t="s">
        <v>111</v>
      </c>
      <c r="B58" s="187"/>
      <c r="C58" s="187"/>
      <c r="D58" s="187"/>
      <c r="E58" s="187"/>
      <c r="F58" s="187"/>
      <c r="G58" s="187"/>
      <c r="H58" s="187"/>
      <c r="I58" s="106"/>
      <c r="J58" s="106"/>
    </row>
    <row r="59" spans="1:16" ht="12" customHeight="1">
      <c r="A59" s="106"/>
      <c r="B59" s="106"/>
      <c r="C59" s="106"/>
      <c r="D59" s="106"/>
      <c r="E59" s="106"/>
      <c r="F59" s="106"/>
      <c r="G59" s="106"/>
      <c r="H59" s="106"/>
      <c r="I59" s="106"/>
      <c r="J59" s="106"/>
    </row>
    <row r="60" spans="1:16" ht="15.75">
      <c r="A60" s="188" t="s">
        <v>109</v>
      </c>
      <c r="B60" s="188"/>
      <c r="C60" s="188"/>
      <c r="D60" s="188"/>
      <c r="E60" s="188"/>
      <c r="F60" s="188"/>
      <c r="G60" s="188"/>
      <c r="H60" s="188"/>
      <c r="I60" s="74"/>
      <c r="J60" s="74"/>
    </row>
    <row r="61" spans="1:16" ht="15.75">
      <c r="A61" s="107"/>
      <c r="B61" s="107"/>
      <c r="C61" s="107"/>
      <c r="D61" s="107"/>
      <c r="E61" s="107"/>
      <c r="F61" s="107"/>
      <c r="G61" s="107"/>
      <c r="H61" s="99" t="s">
        <v>229</v>
      </c>
      <c r="J61" s="107"/>
    </row>
    <row r="62" spans="1:16" ht="15.75">
      <c r="A62" s="230" t="s">
        <v>110</v>
      </c>
      <c r="B62" s="230"/>
      <c r="C62" s="230"/>
      <c r="D62" s="230"/>
      <c r="E62" s="230"/>
      <c r="F62" s="230"/>
      <c r="G62" s="231"/>
      <c r="H62" s="108">
        <f>SUM(H71:H84)+H64+H70</f>
        <v>1507791.6668318592</v>
      </c>
      <c r="I62" s="109"/>
      <c r="J62" s="109"/>
    </row>
    <row r="63" spans="1:16" ht="15">
      <c r="A63" s="110" t="s">
        <v>98</v>
      </c>
      <c r="B63" s="232" t="s">
        <v>99</v>
      </c>
      <c r="C63" s="233"/>
      <c r="D63" s="233"/>
      <c r="E63" s="233"/>
      <c r="F63" s="233"/>
      <c r="G63" s="234"/>
      <c r="H63" s="111" t="s">
        <v>100</v>
      </c>
      <c r="I63" s="112"/>
    </row>
    <row r="64" spans="1:16" ht="15.75">
      <c r="A64" s="113" t="s">
        <v>101</v>
      </c>
      <c r="B64" s="114" t="s">
        <v>102</v>
      </c>
      <c r="C64" s="91"/>
      <c r="D64" s="91"/>
      <c r="E64" s="91"/>
      <c r="F64" s="91"/>
      <c r="G64" s="91"/>
      <c r="H64" s="94">
        <f>SUM(H65:H69)</f>
        <v>110456.45412153211</v>
      </c>
      <c r="I64" s="75"/>
      <c r="K64" s="105"/>
    </row>
    <row r="65" spans="1:18" ht="15">
      <c r="A65" s="113"/>
      <c r="B65" s="114" t="s">
        <v>37</v>
      </c>
      <c r="C65" s="91"/>
      <c r="D65" s="91"/>
      <c r="E65" s="91"/>
      <c r="F65" s="91"/>
      <c r="G65" s="91"/>
      <c r="H65" s="102">
        <f>457+3700+5973</f>
        <v>10130</v>
      </c>
      <c r="I65" s="75"/>
    </row>
    <row r="66" spans="1:18" ht="15">
      <c r="A66" s="113"/>
      <c r="B66" s="114" t="s">
        <v>256</v>
      </c>
      <c r="C66" s="91"/>
      <c r="D66" s="91"/>
      <c r="E66" s="91"/>
      <c r="F66" s="91"/>
      <c r="G66" s="91"/>
      <c r="H66" s="102">
        <f>3840+5118</f>
        <v>8958</v>
      </c>
      <c r="I66" s="75"/>
    </row>
    <row r="67" spans="1:18" ht="15">
      <c r="A67" s="113"/>
      <c r="B67" s="114" t="s">
        <v>0</v>
      </c>
      <c r="C67" s="91"/>
      <c r="D67" s="91"/>
      <c r="E67" s="91"/>
      <c r="F67" s="91"/>
      <c r="G67" s="91"/>
      <c r="H67" s="102">
        <f>2894</f>
        <v>2894</v>
      </c>
      <c r="I67" s="75"/>
    </row>
    <row r="68" spans="1:18" ht="15">
      <c r="A68" s="113"/>
      <c r="B68" s="114" t="s">
        <v>13</v>
      </c>
      <c r="C68" s="91"/>
      <c r="D68" s="91"/>
      <c r="E68" s="91"/>
      <c r="F68" s="91"/>
      <c r="G68" s="91"/>
      <c r="H68" s="102">
        <f>933+589</f>
        <v>1522</v>
      </c>
      <c r="I68" s="75"/>
    </row>
    <row r="69" spans="1:18" ht="48" customHeight="1">
      <c r="A69" s="113"/>
      <c r="B69" s="213" t="s">
        <v>16</v>
      </c>
      <c r="C69" s="214"/>
      <c r="D69" s="214"/>
      <c r="E69" s="214"/>
      <c r="F69" s="214"/>
      <c r="G69" s="214"/>
      <c r="H69" s="102">
        <f>Основное!$D$4*Основное!I32</f>
        <v>86952.454121532108</v>
      </c>
      <c r="I69" s="75"/>
    </row>
    <row r="70" spans="1:18" ht="15">
      <c r="A70" s="113" t="s">
        <v>103</v>
      </c>
      <c r="B70" s="114" t="s">
        <v>140</v>
      </c>
      <c r="C70" s="91"/>
      <c r="D70" s="91"/>
      <c r="E70" s="91"/>
      <c r="F70" s="91"/>
      <c r="G70" s="91"/>
      <c r="H70" s="102">
        <f>Основное!$D$4*Основное!I33</f>
        <v>5477.6849738496285</v>
      </c>
      <c r="I70" s="75"/>
    </row>
    <row r="71" spans="1:18" ht="15">
      <c r="A71" s="113" t="s">
        <v>276</v>
      </c>
      <c r="B71" s="61" t="s">
        <v>275</v>
      </c>
      <c r="C71" s="91"/>
      <c r="D71" s="91"/>
      <c r="E71" s="91"/>
      <c r="F71" s="91"/>
      <c r="G71" s="91"/>
      <c r="H71" s="102">
        <f>Основное!$D$4*Основное!I34</f>
        <v>11704.477891097817</v>
      </c>
      <c r="I71" s="75"/>
    </row>
    <row r="72" spans="1:18" ht="14.25">
      <c r="A72" s="113" t="s">
        <v>277</v>
      </c>
      <c r="B72" s="114" t="s">
        <v>104</v>
      </c>
      <c r="C72" s="91"/>
      <c r="D72" s="91"/>
      <c r="E72" s="91"/>
      <c r="F72" s="91"/>
      <c r="G72" s="91"/>
      <c r="H72" s="102">
        <f>Основное!$D$4*Основное!I35</f>
        <v>62007.484124671479</v>
      </c>
      <c r="I72" s="117"/>
      <c r="J72" s="117"/>
      <c r="K72" s="145"/>
      <c r="L72" s="145"/>
      <c r="M72" s="145"/>
      <c r="N72" s="145"/>
      <c r="O72" s="145"/>
      <c r="P72" s="145"/>
      <c r="Q72" s="145"/>
      <c r="R72" s="145"/>
    </row>
    <row r="73" spans="1:18" ht="14.25">
      <c r="A73" s="113" t="s">
        <v>273</v>
      </c>
      <c r="B73" s="114" t="s">
        <v>274</v>
      </c>
      <c r="C73" s="91"/>
      <c r="D73" s="91"/>
      <c r="E73" s="91"/>
      <c r="F73" s="91"/>
      <c r="G73" s="91"/>
      <c r="H73" s="102">
        <f>Основное!$D$4*Основное!I36</f>
        <v>11063.522464566131</v>
      </c>
      <c r="I73" s="117"/>
      <c r="J73" s="117"/>
      <c r="K73" s="145"/>
      <c r="L73" s="145"/>
      <c r="M73" s="145"/>
      <c r="N73" s="145"/>
      <c r="O73" s="145"/>
      <c r="P73" s="145"/>
      <c r="Q73" s="145"/>
      <c r="R73" s="145"/>
    </row>
    <row r="74" spans="1:18" ht="15">
      <c r="A74" s="113" t="s">
        <v>278</v>
      </c>
      <c r="B74" s="114" t="s">
        <v>271</v>
      </c>
      <c r="C74" s="91"/>
      <c r="D74" s="91"/>
      <c r="E74" s="91"/>
      <c r="F74" s="91"/>
      <c r="G74" s="91"/>
      <c r="H74" s="102">
        <f>Основное!$D$4*Основное!I37</f>
        <v>102110.03193815875</v>
      </c>
      <c r="I74" s="75"/>
    </row>
    <row r="75" spans="1:18" ht="15">
      <c r="A75" s="113" t="s">
        <v>279</v>
      </c>
      <c r="B75" s="114" t="s">
        <v>272</v>
      </c>
      <c r="C75" s="91"/>
      <c r="D75" s="91"/>
      <c r="E75" s="91"/>
      <c r="F75" s="91"/>
      <c r="G75" s="91"/>
      <c r="H75" s="102">
        <f>Основное!$D$4*Основное!I38</f>
        <v>7377.4750094859455</v>
      </c>
      <c r="I75" s="75"/>
    </row>
    <row r="76" spans="1:18" ht="15">
      <c r="A76" s="113" t="s">
        <v>280</v>
      </c>
      <c r="B76" s="114" t="s">
        <v>105</v>
      </c>
      <c r="C76" s="91"/>
      <c r="D76" s="91"/>
      <c r="E76" s="91"/>
      <c r="F76" s="91"/>
      <c r="G76" s="91"/>
      <c r="H76" s="102">
        <f>Основное!$D$4*Основное!I39</f>
        <v>99122.898419730191</v>
      </c>
      <c r="I76" s="75"/>
    </row>
    <row r="77" spans="1:18" ht="15">
      <c r="A77" s="113" t="s">
        <v>281</v>
      </c>
      <c r="B77" s="114" t="s">
        <v>136</v>
      </c>
      <c r="C77" s="91"/>
      <c r="D77" s="91"/>
      <c r="E77" s="91"/>
      <c r="F77" s="91"/>
      <c r="G77" s="91"/>
      <c r="H77" s="102">
        <f>Основное!$D$4*Основное!I40</f>
        <v>237659.94971268447</v>
      </c>
      <c r="I77" s="75"/>
    </row>
    <row r="78" spans="1:18" ht="15">
      <c r="A78" s="113" t="s">
        <v>282</v>
      </c>
      <c r="B78" s="114" t="s">
        <v>141</v>
      </c>
      <c r="C78" s="91"/>
      <c r="D78" s="91"/>
      <c r="E78" s="91"/>
      <c r="F78" s="91"/>
      <c r="G78" s="91"/>
      <c r="H78" s="102">
        <f>Основное!$D$4*Основное!I41</f>
        <v>28378.53438034825</v>
      </c>
      <c r="I78" s="75"/>
    </row>
    <row r="79" spans="1:18" ht="15">
      <c r="A79" s="113" t="s">
        <v>283</v>
      </c>
      <c r="B79" s="114" t="s">
        <v>133</v>
      </c>
      <c r="C79" s="91"/>
      <c r="D79" s="91"/>
      <c r="E79" s="91"/>
      <c r="F79" s="91"/>
      <c r="G79" s="91"/>
      <c r="H79" s="102">
        <f>Основное!$D$4*Основное!I42</f>
        <v>14735.733931835897</v>
      </c>
      <c r="I79" s="75"/>
    </row>
    <row r="80" spans="1:18" ht="15">
      <c r="A80" s="113" t="s">
        <v>284</v>
      </c>
      <c r="B80" s="114" t="s">
        <v>139</v>
      </c>
      <c r="C80" s="91"/>
      <c r="D80" s="91"/>
      <c r="E80" s="91"/>
      <c r="F80" s="91"/>
      <c r="G80" s="91"/>
      <c r="H80" s="102">
        <f>Основное!$D$4*Основное!I43</f>
        <v>5429.0817972934237</v>
      </c>
      <c r="I80" s="75"/>
    </row>
    <row r="81" spans="1:15" ht="15">
      <c r="A81" s="113" t="s">
        <v>285</v>
      </c>
      <c r="B81" s="114" t="s">
        <v>106</v>
      </c>
      <c r="C81" s="91"/>
      <c r="D81" s="91"/>
      <c r="E81" s="91"/>
      <c r="F81" s="91"/>
      <c r="G81" s="91"/>
      <c r="H81" s="102">
        <f>Основное!$D$4*Основное!I44</f>
        <v>641574.35890276555</v>
      </c>
      <c r="I81" s="75"/>
    </row>
    <row r="82" spans="1:15" ht="15">
      <c r="A82" s="113" t="s">
        <v>286</v>
      </c>
      <c r="B82" s="114" t="s">
        <v>132</v>
      </c>
      <c r="C82" s="91"/>
      <c r="D82" s="91"/>
      <c r="E82" s="91"/>
      <c r="F82" s="91"/>
      <c r="G82" s="91"/>
      <c r="H82" s="102">
        <f>Основное!$D$4*Основное!I45</f>
        <v>129598.02049835862</v>
      </c>
      <c r="I82" s="75"/>
    </row>
    <row r="83" spans="1:15" ht="15">
      <c r="A83" s="113" t="s">
        <v>287</v>
      </c>
      <c r="B83" s="114" t="s">
        <v>128</v>
      </c>
      <c r="C83" s="91"/>
      <c r="D83" s="91"/>
      <c r="E83" s="91"/>
      <c r="F83" s="91"/>
      <c r="G83" s="91"/>
      <c r="H83" s="102">
        <f>Основное!$D$4*Основное!I46</f>
        <v>19279.508601178451</v>
      </c>
      <c r="I83" s="75"/>
    </row>
    <row r="84" spans="1:15" ht="15">
      <c r="A84" s="113" t="s">
        <v>288</v>
      </c>
      <c r="B84" s="114" t="s">
        <v>50</v>
      </c>
      <c r="C84" s="91"/>
      <c r="D84" s="91"/>
      <c r="E84" s="91"/>
      <c r="F84" s="91"/>
      <c r="G84" s="91"/>
      <c r="H84" s="102">
        <f>Основное!$D$4*Основное!I47</f>
        <v>21816.450064302433</v>
      </c>
      <c r="I84" s="75"/>
    </row>
    <row r="85" spans="1:15">
      <c r="A85" s="119"/>
      <c r="B85" s="119"/>
      <c r="C85" s="119"/>
      <c r="D85" s="119"/>
      <c r="E85" s="119"/>
      <c r="F85" s="119"/>
      <c r="G85" s="119"/>
      <c r="H85" s="120"/>
      <c r="I85" s="117"/>
      <c r="J85" s="117"/>
    </row>
    <row r="86" spans="1:15" s="145" customFormat="1" ht="26.25" customHeight="1">
      <c r="A86" s="189" t="s">
        <v>5</v>
      </c>
      <c r="B86" s="189"/>
      <c r="C86" s="189"/>
      <c r="D86" s="189"/>
      <c r="E86" s="189"/>
      <c r="F86" s="189"/>
      <c r="G86" s="189"/>
      <c r="H86" s="189"/>
      <c r="I86" s="121"/>
      <c r="J86" s="121"/>
      <c r="K86" s="82"/>
    </row>
    <row r="87" spans="1:15" s="145" customFormat="1">
      <c r="A87" s="122"/>
      <c r="B87" s="215"/>
      <c r="C87" s="215"/>
      <c r="D87" s="215"/>
      <c r="E87" s="215"/>
      <c r="F87" s="215"/>
      <c r="G87" s="215"/>
      <c r="H87" s="215"/>
      <c r="I87" s="123"/>
      <c r="J87" s="123"/>
    </row>
    <row r="88" spans="1:15" s="145" customFormat="1" ht="15.75">
      <c r="A88" s="184" t="s">
        <v>259</v>
      </c>
      <c r="B88" s="184"/>
      <c r="C88" s="184"/>
      <c r="D88" s="184"/>
      <c r="E88" s="184"/>
      <c r="F88" s="184"/>
      <c r="G88" s="184"/>
      <c r="I88" s="122"/>
    </row>
    <row r="89" spans="1:15" s="145" customFormat="1" ht="15.75">
      <c r="A89" s="112"/>
      <c r="B89" s="112"/>
      <c r="C89" s="112"/>
      <c r="D89" s="112"/>
      <c r="E89" s="86"/>
      <c r="F89" s="82"/>
      <c r="G89" s="124" t="s">
        <v>230</v>
      </c>
      <c r="H89" s="123"/>
      <c r="I89" s="123"/>
    </row>
    <row r="90" spans="1:15" s="145" customFormat="1" ht="31.5" customHeight="1">
      <c r="A90" s="125" t="s">
        <v>262</v>
      </c>
      <c r="B90" s="125" t="s">
        <v>261</v>
      </c>
      <c r="C90" s="126" t="s">
        <v>231</v>
      </c>
      <c r="D90" s="126" t="s">
        <v>232</v>
      </c>
      <c r="E90" s="127" t="s">
        <v>257</v>
      </c>
      <c r="F90" s="127" t="s">
        <v>258</v>
      </c>
      <c r="G90" s="178" t="s">
        <v>290</v>
      </c>
      <c r="J90" s="123"/>
    </row>
    <row r="91" spans="1:15" s="83" customFormat="1" ht="15">
      <c r="A91" s="144">
        <v>2052.84</v>
      </c>
      <c r="B91" s="148">
        <v>8640</v>
      </c>
      <c r="C91" s="142">
        <v>8640</v>
      </c>
      <c r="D91" s="144">
        <v>12000</v>
      </c>
      <c r="E91" s="142">
        <v>6000</v>
      </c>
      <c r="F91" s="142">
        <v>3000</v>
      </c>
      <c r="G91" s="179">
        <f>SUM(A91:F91)</f>
        <v>40332.839999999997</v>
      </c>
      <c r="H91" s="128"/>
      <c r="I91" s="128"/>
      <c r="J91" s="128"/>
    </row>
    <row r="92" spans="1:15" s="145" customFormat="1" ht="15">
      <c r="A92" s="129"/>
      <c r="B92" s="129"/>
      <c r="C92" s="130"/>
      <c r="D92" s="130"/>
      <c r="E92" s="130"/>
      <c r="F92" s="130"/>
      <c r="G92" s="82"/>
      <c r="H92" s="123"/>
      <c r="I92" s="123"/>
      <c r="J92" s="123"/>
    </row>
    <row r="93" spans="1:15" s="145" customFormat="1" ht="94.5" customHeight="1">
      <c r="A93" s="228" t="s">
        <v>51</v>
      </c>
      <c r="B93" s="228"/>
      <c r="C93" s="228"/>
      <c r="D93" s="228"/>
      <c r="E93" s="228"/>
      <c r="F93" s="228"/>
      <c r="G93" s="228"/>
      <c r="H93" s="228"/>
      <c r="I93" s="131"/>
      <c r="J93" s="131"/>
      <c r="K93" s="131"/>
      <c r="L93" s="131"/>
    </row>
    <row r="94" spans="1:15" ht="59.25" customHeight="1">
      <c r="A94" s="229" t="s">
        <v>52</v>
      </c>
      <c r="B94" s="229"/>
      <c r="C94" s="229"/>
      <c r="D94" s="229"/>
      <c r="E94" s="229"/>
      <c r="F94" s="229"/>
      <c r="G94" s="229"/>
      <c r="H94" s="229"/>
      <c r="I94" s="132"/>
      <c r="J94" s="132"/>
      <c r="K94" s="132"/>
      <c r="L94" s="132"/>
      <c r="M94" s="132"/>
      <c r="N94" s="132"/>
      <c r="O94" s="132"/>
    </row>
    <row r="95" spans="1:15">
      <c r="A95" s="133"/>
      <c r="B95" s="133"/>
      <c r="C95" s="133"/>
      <c r="D95" s="133"/>
      <c r="E95" s="133"/>
      <c r="F95" s="133"/>
      <c r="G95" s="133"/>
      <c r="H95" s="133"/>
      <c r="I95" s="133"/>
      <c r="J95" s="133"/>
      <c r="K95" s="133"/>
      <c r="L95" s="133"/>
    </row>
    <row r="96" spans="1:15" ht="15">
      <c r="A96" s="242" t="s">
        <v>176</v>
      </c>
      <c r="B96" s="242"/>
      <c r="C96" s="242"/>
      <c r="D96" s="242"/>
      <c r="E96" s="242"/>
      <c r="F96" s="242"/>
      <c r="G96" s="242"/>
      <c r="H96" s="242"/>
      <c r="I96" s="134"/>
      <c r="J96" s="135"/>
      <c r="K96" s="135"/>
      <c r="L96" s="135"/>
      <c r="M96" s="135"/>
      <c r="N96" s="135"/>
      <c r="O96" s="135"/>
    </row>
    <row r="97" spans="1:15" ht="15">
      <c r="A97" s="242" t="s">
        <v>238</v>
      </c>
      <c r="B97" s="242"/>
      <c r="C97" s="242"/>
      <c r="D97" s="242"/>
      <c r="E97" s="242"/>
      <c r="F97" s="242"/>
      <c r="G97" s="242"/>
      <c r="H97" s="242"/>
      <c r="I97" s="134"/>
      <c r="J97" s="135"/>
      <c r="K97" s="135"/>
      <c r="L97" s="135"/>
      <c r="M97" s="135"/>
      <c r="N97" s="135"/>
      <c r="O97" s="135"/>
    </row>
    <row r="98" spans="1:15" ht="14.25">
      <c r="A98" s="193" t="s">
        <v>233</v>
      </c>
      <c r="B98" s="193"/>
      <c r="C98" s="193"/>
      <c r="D98" s="193"/>
      <c r="E98" s="193"/>
      <c r="F98" s="193"/>
      <c r="G98" s="193"/>
      <c r="H98" s="193"/>
      <c r="I98" s="149"/>
      <c r="J98" s="149"/>
      <c r="K98" s="149"/>
      <c r="L98" s="149"/>
      <c r="M98" s="149"/>
      <c r="N98" s="149"/>
      <c r="O98" s="149"/>
    </row>
    <row r="99" spans="1:15" ht="15">
      <c r="A99" s="182" t="s">
        <v>239</v>
      </c>
      <c r="B99" s="182"/>
      <c r="C99" s="182"/>
      <c r="D99" s="182"/>
      <c r="E99" s="182"/>
      <c r="F99" s="182"/>
      <c r="G99" s="182"/>
      <c r="H99" s="182"/>
      <c r="I99" s="136"/>
      <c r="J99" s="137"/>
      <c r="K99" s="137"/>
      <c r="L99" s="137"/>
      <c r="M99" s="137"/>
      <c r="N99" s="137"/>
      <c r="O99" s="137"/>
    </row>
    <row r="100" spans="1:15" ht="15">
      <c r="A100" s="183" t="s">
        <v>234</v>
      </c>
      <c r="B100" s="183"/>
      <c r="C100" s="183"/>
      <c r="D100" s="183"/>
      <c r="E100" s="183"/>
      <c r="F100" s="183"/>
      <c r="G100" s="183"/>
      <c r="H100" s="183"/>
      <c r="I100" s="138"/>
      <c r="J100" s="139"/>
      <c r="K100" s="139"/>
      <c r="L100" s="139"/>
      <c r="M100" s="139"/>
      <c r="N100" s="139"/>
      <c r="O100" s="139"/>
    </row>
  </sheetData>
  <mergeCells count="53">
    <mergeCell ref="E21:E23"/>
    <mergeCell ref="H21:H23"/>
    <mergeCell ref="A24:B24"/>
    <mergeCell ref="L37:R37"/>
    <mergeCell ref="E32:F32"/>
    <mergeCell ref="L34:R34"/>
    <mergeCell ref="C32:D32"/>
    <mergeCell ref="L36:R36"/>
    <mergeCell ref="L33:R33"/>
    <mergeCell ref="G21:G23"/>
    <mergeCell ref="A96:H96"/>
    <mergeCell ref="A33:B33"/>
    <mergeCell ref="A46:H46"/>
    <mergeCell ref="C53:G53"/>
    <mergeCell ref="C40:G40"/>
    <mergeCell ref="A34:B44"/>
    <mergeCell ref="C39:G39"/>
    <mergeCell ref="A1:H1"/>
    <mergeCell ref="A2:H2"/>
    <mergeCell ref="A3:H3"/>
    <mergeCell ref="A17:H17"/>
    <mergeCell ref="A19:H19"/>
    <mergeCell ref="E5:H7"/>
    <mergeCell ref="L39:R39"/>
    <mergeCell ref="B20:F20"/>
    <mergeCell ref="A21:B23"/>
    <mergeCell ref="C21:C23"/>
    <mergeCell ref="D21:D23"/>
    <mergeCell ref="L35:R35"/>
    <mergeCell ref="C33:G33"/>
    <mergeCell ref="F21:F23"/>
    <mergeCell ref="A31:H31"/>
    <mergeCell ref="A28:G28"/>
    <mergeCell ref="A98:H98"/>
    <mergeCell ref="A99:H99"/>
    <mergeCell ref="A97:H97"/>
    <mergeCell ref="B63:G63"/>
    <mergeCell ref="A50:B50"/>
    <mergeCell ref="C50:G50"/>
    <mergeCell ref="A51:B55"/>
    <mergeCell ref="C54:G54"/>
    <mergeCell ref="A62:G62"/>
    <mergeCell ref="A94:H94"/>
    <mergeCell ref="A100:H100"/>
    <mergeCell ref="A48:H48"/>
    <mergeCell ref="A58:H58"/>
    <mergeCell ref="A60:H60"/>
    <mergeCell ref="A86:H86"/>
    <mergeCell ref="A88:G88"/>
    <mergeCell ref="A93:H93"/>
    <mergeCell ref="B69:G69"/>
    <mergeCell ref="C55:G55"/>
    <mergeCell ref="B87:H87"/>
  </mergeCells>
  <phoneticPr fontId="11" type="noConversion"/>
  <hyperlinks>
    <hyperlink ref="A98" r:id="rId1" display="blgorod@rambler.ru,"/>
  </hyperlinks>
  <pageMargins left="0.78740157480314965" right="0.78740157480314965" top="0.78740157480314965" bottom="0.82677165354330717" header="0.51181102362204722" footer="0.51181102362204722"/>
  <pageSetup paperSize="9" scale="73" orientation="portrait" verticalDpi="360" r:id="rId2"/>
  <headerFooter alignWithMargins="0"/>
  <rowBreaks count="1" manualBreakCount="1">
    <brk id="59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97"/>
  <sheetViews>
    <sheetView view="pageBreakPreview" topLeftCell="A75" zoomScaleSheetLayoutView="100" workbookViewId="0">
      <selection activeCell="H60" sqref="H60"/>
    </sheetView>
  </sheetViews>
  <sheetFormatPr defaultRowHeight="12.75"/>
  <cols>
    <col min="1" max="1" width="12.5703125" style="140" customWidth="1"/>
    <col min="2" max="2" width="11.7109375" style="140" customWidth="1"/>
    <col min="3" max="3" width="14" style="140" customWidth="1"/>
    <col min="4" max="4" width="13.42578125" style="140" customWidth="1"/>
    <col min="5" max="5" width="18.42578125" style="140" customWidth="1"/>
    <col min="6" max="6" width="15.28515625" style="140" customWidth="1"/>
    <col min="7" max="7" width="16" style="140" customWidth="1"/>
    <col min="8" max="8" width="14" style="140" customWidth="1"/>
    <col min="9" max="9" width="10.140625" style="140" customWidth="1"/>
    <col min="10" max="10" width="2.5703125" style="140" customWidth="1"/>
    <col min="11" max="12" width="9.140625" style="140"/>
    <col min="13" max="13" width="0.5703125" style="140" customWidth="1"/>
    <col min="14" max="15" width="9.140625" style="140"/>
    <col min="16" max="16" width="1.42578125" style="140" customWidth="1"/>
    <col min="17" max="16384" width="9.140625" style="140"/>
  </cols>
  <sheetData>
    <row r="1" spans="1:16" ht="18">
      <c r="A1" s="241" t="s">
        <v>235</v>
      </c>
      <c r="B1" s="241"/>
      <c r="C1" s="241"/>
      <c r="D1" s="241"/>
      <c r="E1" s="241"/>
      <c r="F1" s="241"/>
      <c r="G1" s="241"/>
      <c r="H1" s="241"/>
      <c r="I1" s="62"/>
      <c r="J1" s="62"/>
      <c r="K1" s="62"/>
      <c r="L1" s="62"/>
      <c r="M1" s="62"/>
      <c r="N1" s="62"/>
      <c r="O1" s="62"/>
    </row>
    <row r="2" spans="1:16" ht="18">
      <c r="A2" s="241" t="s">
        <v>243</v>
      </c>
      <c r="B2" s="241"/>
      <c r="C2" s="241"/>
      <c r="D2" s="241"/>
      <c r="E2" s="241"/>
      <c r="F2" s="241"/>
      <c r="G2" s="241"/>
      <c r="H2" s="241"/>
      <c r="I2" s="62"/>
      <c r="J2" s="62"/>
      <c r="K2" s="62"/>
      <c r="L2" s="62"/>
      <c r="M2" s="62"/>
      <c r="N2" s="62"/>
      <c r="O2" s="62"/>
    </row>
    <row r="3" spans="1:16" ht="18">
      <c r="A3" s="194" t="s">
        <v>26</v>
      </c>
      <c r="B3" s="194"/>
      <c r="C3" s="194"/>
      <c r="D3" s="194"/>
      <c r="E3" s="194"/>
      <c r="F3" s="194"/>
      <c r="G3" s="194"/>
      <c r="H3" s="194"/>
      <c r="I3" s="63"/>
      <c r="J3" s="63"/>
      <c r="K3" s="63"/>
      <c r="L3" s="63"/>
      <c r="M3" s="63"/>
      <c r="N3" s="63"/>
      <c r="O3" s="63"/>
    </row>
    <row r="4" spans="1:16" ht="18">
      <c r="A4" s="63"/>
      <c r="B4" s="63"/>
      <c r="C4" s="63"/>
      <c r="D4" s="63"/>
      <c r="E4" s="63"/>
      <c r="F4" s="63"/>
      <c r="G4" s="63"/>
      <c r="H4" s="63"/>
      <c r="I4" s="63"/>
      <c r="J4" s="63"/>
      <c r="K4" s="64"/>
      <c r="L4" s="64"/>
      <c r="M4" s="64"/>
      <c r="N4" s="64"/>
      <c r="O4" s="64"/>
      <c r="P4" s="64"/>
    </row>
    <row r="5" spans="1:16" s="67" customFormat="1" ht="14.25" customHeight="1">
      <c r="A5" s="65" t="s">
        <v>190</v>
      </c>
      <c r="B5" s="65"/>
      <c r="C5" s="65"/>
      <c r="D5" s="65"/>
      <c r="E5" s="196" t="s">
        <v>59</v>
      </c>
      <c r="F5" s="196"/>
      <c r="G5" s="196"/>
      <c r="H5" s="196"/>
      <c r="I5" s="66"/>
      <c r="J5" s="66"/>
    </row>
    <row r="6" spans="1:16" s="67" customFormat="1" ht="14.25">
      <c r="A6" s="65" t="s">
        <v>96</v>
      </c>
      <c r="B6" s="65"/>
      <c r="C6" s="65"/>
      <c r="D6" s="65"/>
      <c r="E6" s="196"/>
      <c r="F6" s="196"/>
      <c r="G6" s="196"/>
      <c r="H6" s="196"/>
      <c r="I6" s="66"/>
      <c r="J6" s="66"/>
    </row>
    <row r="7" spans="1:16" s="67" customFormat="1" ht="27.75" customHeight="1">
      <c r="A7" s="65" t="s">
        <v>8</v>
      </c>
      <c r="B7" s="65"/>
      <c r="C7" s="65"/>
      <c r="D7" s="65"/>
      <c r="E7" s="196"/>
      <c r="F7" s="196"/>
      <c r="G7" s="196"/>
      <c r="H7" s="196"/>
      <c r="I7" s="66"/>
      <c r="J7" s="66"/>
    </row>
    <row r="8" spans="1:16" s="67" customFormat="1" ht="14.25">
      <c r="A8" s="65" t="s">
        <v>7</v>
      </c>
      <c r="B8" s="65"/>
      <c r="C8" s="65"/>
      <c r="D8" s="65"/>
      <c r="E8" s="66"/>
      <c r="F8" s="66"/>
      <c r="G8" s="66"/>
      <c r="H8" s="66"/>
      <c r="I8" s="68"/>
      <c r="J8" s="68"/>
    </row>
    <row r="9" spans="1:16" s="67" customFormat="1" ht="14.25">
      <c r="A9" s="65" t="s">
        <v>97</v>
      </c>
      <c r="B9" s="65"/>
      <c r="C9" s="65"/>
      <c r="D9" s="65"/>
      <c r="E9" s="68" t="s">
        <v>211</v>
      </c>
      <c r="F9" s="66"/>
      <c r="G9" s="66"/>
      <c r="H9" s="66"/>
      <c r="I9" s="66"/>
      <c r="J9" s="66"/>
    </row>
    <row r="10" spans="1:16" s="67" customFormat="1" ht="14.25">
      <c r="A10" s="65" t="s">
        <v>116</v>
      </c>
      <c r="B10" s="65"/>
      <c r="C10" s="65"/>
      <c r="D10" s="65"/>
      <c r="F10" s="68"/>
      <c r="G10" s="68"/>
      <c r="H10" s="68"/>
      <c r="I10" s="68"/>
      <c r="J10" s="68"/>
    </row>
    <row r="11" spans="1:16" s="67" customFormat="1" ht="14.25">
      <c r="A11" s="65" t="s">
        <v>121</v>
      </c>
      <c r="B11" s="65"/>
      <c r="C11" s="65"/>
      <c r="D11" s="65"/>
      <c r="E11" s="65" t="s">
        <v>212</v>
      </c>
      <c r="F11" s="65"/>
      <c r="G11" s="65" t="s">
        <v>60</v>
      </c>
      <c r="I11" s="65"/>
      <c r="J11" s="65"/>
    </row>
    <row r="12" spans="1:16" s="67" customFormat="1" ht="14.25">
      <c r="A12" s="65" t="s">
        <v>191</v>
      </c>
      <c r="B12" s="65"/>
      <c r="C12" s="65"/>
      <c r="D12" s="65"/>
      <c r="E12" s="65" t="s">
        <v>213</v>
      </c>
      <c r="F12" s="65"/>
      <c r="G12" s="65" t="s">
        <v>251</v>
      </c>
      <c r="I12" s="65"/>
      <c r="J12" s="65"/>
    </row>
    <row r="13" spans="1:16" s="67" customFormat="1" ht="14.25">
      <c r="A13" s="65" t="s">
        <v>186</v>
      </c>
      <c r="B13" s="65"/>
      <c r="C13" s="65"/>
      <c r="D13" s="65"/>
      <c r="E13" s="65" t="s">
        <v>214</v>
      </c>
      <c r="F13" s="65"/>
      <c r="G13" s="65" t="s">
        <v>27</v>
      </c>
      <c r="I13" s="65"/>
      <c r="J13" s="65"/>
    </row>
    <row r="14" spans="1:16" s="67" customFormat="1" ht="14.25">
      <c r="A14" s="65" t="s">
        <v>187</v>
      </c>
      <c r="B14" s="65"/>
      <c r="C14" s="65"/>
      <c r="D14" s="65"/>
      <c r="E14" s="65" t="s">
        <v>215</v>
      </c>
      <c r="F14" s="65"/>
      <c r="G14" s="65" t="s">
        <v>216</v>
      </c>
      <c r="I14" s="65"/>
      <c r="J14" s="65"/>
    </row>
    <row r="15" spans="1:16" s="67" customFormat="1" ht="14.25">
      <c r="A15" s="65" t="s">
        <v>192</v>
      </c>
      <c r="B15" s="65"/>
      <c r="C15" s="65"/>
      <c r="D15" s="65"/>
      <c r="E15" s="65" t="s">
        <v>217</v>
      </c>
      <c r="F15" s="65"/>
      <c r="G15" s="65" t="s">
        <v>61</v>
      </c>
      <c r="I15" s="65"/>
      <c r="J15" s="65"/>
    </row>
    <row r="16" spans="1:16" ht="18.75">
      <c r="A16" s="69"/>
      <c r="B16" s="69"/>
      <c r="C16" s="69"/>
      <c r="D16" s="69"/>
      <c r="E16" s="69"/>
      <c r="F16" s="70"/>
      <c r="G16" s="70"/>
      <c r="H16" s="70"/>
      <c r="I16" s="70"/>
      <c r="J16" s="70"/>
      <c r="K16" s="71"/>
      <c r="L16" s="71"/>
      <c r="M16" s="71"/>
      <c r="N16" s="71"/>
      <c r="O16" s="71"/>
      <c r="P16" s="71"/>
    </row>
    <row r="17" spans="1:16" ht="30" customHeight="1">
      <c r="A17" s="185" t="s">
        <v>74</v>
      </c>
      <c r="B17" s="185"/>
      <c r="C17" s="185"/>
      <c r="D17" s="185"/>
      <c r="E17" s="185"/>
      <c r="F17" s="185"/>
      <c r="G17" s="185"/>
      <c r="H17" s="185"/>
      <c r="I17" s="66"/>
      <c r="J17" s="66"/>
      <c r="K17" s="72"/>
      <c r="L17" s="72"/>
      <c r="M17" s="72"/>
      <c r="N17" s="72"/>
      <c r="O17" s="72"/>
      <c r="P17" s="72"/>
    </row>
    <row r="18" spans="1:16" ht="15.75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2"/>
      <c r="L18" s="72"/>
      <c r="M18" s="72"/>
      <c r="N18" s="72"/>
      <c r="O18" s="72"/>
      <c r="P18" s="72"/>
    </row>
    <row r="19" spans="1:16" ht="15.75">
      <c r="A19" s="188" t="s">
        <v>63</v>
      </c>
      <c r="B19" s="188"/>
      <c r="C19" s="188"/>
      <c r="D19" s="188"/>
      <c r="E19" s="188"/>
      <c r="F19" s="188"/>
      <c r="G19" s="188"/>
      <c r="H19" s="188"/>
      <c r="I19" s="74"/>
      <c r="J19" s="74"/>
      <c r="K19" s="74"/>
      <c r="L19" s="74"/>
      <c r="M19" s="74"/>
      <c r="N19" s="74"/>
      <c r="O19" s="74"/>
      <c r="P19" s="74"/>
    </row>
    <row r="20" spans="1:16" ht="15.75">
      <c r="A20" s="75"/>
      <c r="B20" s="224"/>
      <c r="C20" s="224"/>
      <c r="D20" s="224"/>
      <c r="E20" s="224"/>
      <c r="F20" s="224"/>
      <c r="G20" s="75"/>
      <c r="H20" s="76" t="s">
        <v>218</v>
      </c>
      <c r="I20" s="76"/>
      <c r="K20" s="72"/>
      <c r="M20" s="72"/>
      <c r="N20" s="72"/>
      <c r="O20" s="77"/>
    </row>
    <row r="21" spans="1:16" s="67" customFormat="1" ht="15" customHeight="1">
      <c r="A21" s="225" t="s">
        <v>219</v>
      </c>
      <c r="B21" s="235"/>
      <c r="C21" s="238" t="s">
        <v>253</v>
      </c>
      <c r="D21" s="238" t="s">
        <v>220</v>
      </c>
      <c r="E21" s="243" t="s">
        <v>10</v>
      </c>
      <c r="F21" s="225" t="s">
        <v>252</v>
      </c>
      <c r="G21" s="209" t="s">
        <v>221</v>
      </c>
      <c r="H21" s="195" t="s">
        <v>222</v>
      </c>
      <c r="I21" s="78"/>
    </row>
    <row r="22" spans="1:16" s="67" customFormat="1" ht="15" customHeight="1">
      <c r="A22" s="226"/>
      <c r="B22" s="236"/>
      <c r="C22" s="239"/>
      <c r="D22" s="239"/>
      <c r="E22" s="244"/>
      <c r="F22" s="226"/>
      <c r="G22" s="210"/>
      <c r="H22" s="195"/>
      <c r="I22" s="78"/>
    </row>
    <row r="23" spans="1:16" s="67" customFormat="1" ht="75" customHeight="1">
      <c r="A23" s="227"/>
      <c r="B23" s="237"/>
      <c r="C23" s="240"/>
      <c r="D23" s="240"/>
      <c r="E23" s="245"/>
      <c r="F23" s="227"/>
      <c r="G23" s="211"/>
      <c r="H23" s="195"/>
      <c r="I23" s="78"/>
    </row>
    <row r="24" spans="1:16" s="81" customFormat="1" ht="14.25">
      <c r="A24" s="246">
        <v>-76045</v>
      </c>
      <c r="B24" s="247"/>
      <c r="C24" s="141">
        <v>107949.72000000002</v>
      </c>
      <c r="D24" s="142">
        <v>103159.09</v>
      </c>
      <c r="E24" s="142">
        <v>35456.880000000005</v>
      </c>
      <c r="F24" s="141">
        <f>C24-D24</f>
        <v>4790.6300000000192</v>
      </c>
      <c r="G24" s="143">
        <v>185324</v>
      </c>
      <c r="H24" s="144">
        <f>A24+D24+E24-G24</f>
        <v>-122753.03</v>
      </c>
      <c r="I24" s="79"/>
      <c r="J24" s="80"/>
    </row>
    <row r="25" spans="1:16" ht="15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2"/>
      <c r="L25" s="72"/>
      <c r="M25" s="72"/>
      <c r="N25" s="72"/>
      <c r="O25" s="72"/>
      <c r="P25" s="72"/>
    </row>
    <row r="26" spans="1:16" ht="14.25">
      <c r="A26" s="65" t="s">
        <v>75</v>
      </c>
      <c r="B26" s="65"/>
      <c r="C26" s="65"/>
      <c r="D26" s="65"/>
      <c r="E26" s="65"/>
      <c r="F26" s="65"/>
      <c r="G26" s="84"/>
      <c r="H26" s="84"/>
      <c r="I26" s="65"/>
      <c r="J26" s="65"/>
      <c r="K26" s="67"/>
      <c r="L26" s="67"/>
      <c r="M26" s="67"/>
      <c r="N26" s="67"/>
      <c r="O26" s="67"/>
      <c r="P26" s="67"/>
    </row>
    <row r="27" spans="1:16" ht="14.25">
      <c r="A27" s="65" t="s">
        <v>255</v>
      </c>
      <c r="B27" s="65"/>
      <c r="C27" s="65"/>
      <c r="D27" s="65"/>
      <c r="E27" s="65"/>
      <c r="F27" s="65"/>
      <c r="G27" s="84"/>
      <c r="H27" s="84"/>
      <c r="I27" s="65"/>
      <c r="J27" s="67"/>
      <c r="K27" s="67"/>
      <c r="L27" s="67"/>
      <c r="M27" s="67"/>
      <c r="N27" s="67"/>
      <c r="O27" s="67"/>
    </row>
    <row r="28" spans="1:16" ht="15" customHeight="1">
      <c r="A28" s="185" t="s">
        <v>248</v>
      </c>
      <c r="B28" s="185"/>
      <c r="C28" s="185"/>
      <c r="D28" s="185"/>
      <c r="E28" s="185"/>
      <c r="F28" s="185"/>
      <c r="G28" s="185"/>
      <c r="H28" s="185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65" t="s">
        <v>249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</row>
    <row r="30" spans="1:16" ht="15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</row>
    <row r="31" spans="1:16" s="145" customFormat="1" ht="15.75">
      <c r="A31" s="184" t="s">
        <v>223</v>
      </c>
      <c r="B31" s="184"/>
      <c r="C31" s="184"/>
      <c r="D31" s="184"/>
      <c r="E31" s="184"/>
      <c r="F31" s="184"/>
      <c r="G31" s="184"/>
      <c r="H31" s="184"/>
      <c r="I31" s="86"/>
      <c r="J31" s="86"/>
    </row>
    <row r="32" spans="1:16" s="145" customFormat="1">
      <c r="A32" s="87"/>
      <c r="B32" s="146"/>
      <c r="C32" s="248"/>
      <c r="D32" s="248"/>
      <c r="E32" s="249"/>
      <c r="F32" s="249"/>
      <c r="G32" s="146"/>
      <c r="H32" s="88" t="s">
        <v>224</v>
      </c>
      <c r="I32" s="88"/>
    </row>
    <row r="33" spans="1:18" s="145" customFormat="1" ht="15.75">
      <c r="A33" s="190" t="s">
        <v>112</v>
      </c>
      <c r="B33" s="191"/>
      <c r="C33" s="218" t="s">
        <v>47</v>
      </c>
      <c r="D33" s="219"/>
      <c r="E33" s="219"/>
      <c r="F33" s="219"/>
      <c r="G33" s="220"/>
      <c r="H33" s="89" t="s">
        <v>225</v>
      </c>
      <c r="L33" s="90"/>
      <c r="M33" s="90"/>
      <c r="N33" s="90"/>
      <c r="O33" s="90"/>
      <c r="P33" s="90"/>
      <c r="Q33" s="90"/>
      <c r="R33" s="90"/>
    </row>
    <row r="34" spans="1:18" s="145" customFormat="1" ht="15" customHeight="1">
      <c r="A34" s="203" t="s">
        <v>244</v>
      </c>
      <c r="B34" s="204"/>
      <c r="C34" s="114" t="s">
        <v>88</v>
      </c>
      <c r="D34" s="91"/>
      <c r="E34" s="91"/>
      <c r="F34" s="91"/>
      <c r="G34" s="91"/>
      <c r="H34" s="102">
        <f>111200</f>
        <v>111200</v>
      </c>
      <c r="L34" s="90"/>
      <c r="M34" s="90"/>
      <c r="N34" s="90"/>
      <c r="O34" s="90"/>
      <c r="P34" s="90"/>
      <c r="Q34" s="90"/>
      <c r="R34" s="90"/>
    </row>
    <row r="35" spans="1:18" s="145" customFormat="1" ht="15" customHeight="1">
      <c r="A35" s="205"/>
      <c r="B35" s="206"/>
      <c r="C35" s="114" t="s">
        <v>92</v>
      </c>
      <c r="D35" s="91"/>
      <c r="E35" s="91"/>
      <c r="F35" s="91"/>
      <c r="G35" s="91"/>
      <c r="H35" s="102">
        <f>232+6075</f>
        <v>6307</v>
      </c>
      <c r="L35" s="90"/>
      <c r="M35" s="90"/>
      <c r="N35" s="90"/>
      <c r="O35" s="90"/>
      <c r="P35" s="90"/>
      <c r="Q35" s="90"/>
      <c r="R35" s="90"/>
    </row>
    <row r="36" spans="1:18" s="145" customFormat="1" ht="14.25">
      <c r="A36" s="205"/>
      <c r="B36" s="206"/>
      <c r="C36" s="114" t="s">
        <v>95</v>
      </c>
      <c r="D36" s="91"/>
      <c r="E36" s="91"/>
      <c r="F36" s="91"/>
      <c r="G36" s="91"/>
      <c r="H36" s="102">
        <f>963+4208</f>
        <v>5171</v>
      </c>
    </row>
    <row r="37" spans="1:18" s="145" customFormat="1" ht="15" customHeight="1">
      <c r="A37" s="205"/>
      <c r="B37" s="206"/>
      <c r="C37" s="114" t="s">
        <v>254</v>
      </c>
      <c r="D37" s="91"/>
      <c r="E37" s="91"/>
      <c r="F37" s="91"/>
      <c r="G37" s="91"/>
      <c r="H37" s="102">
        <f>4125+58521</f>
        <v>62646</v>
      </c>
    </row>
    <row r="38" spans="1:18" s="145" customFormat="1" ht="15">
      <c r="A38" s="205"/>
      <c r="B38" s="206"/>
      <c r="C38" s="92"/>
      <c r="D38" s="93"/>
      <c r="E38" s="93"/>
      <c r="F38" s="93"/>
      <c r="G38" s="93"/>
      <c r="H38" s="94">
        <f>SUM(H34:H37)</f>
        <v>185324</v>
      </c>
      <c r="L38" s="147"/>
    </row>
    <row r="39" spans="1:18" s="145" customFormat="1" ht="15.75">
      <c r="A39" s="205"/>
      <c r="B39" s="206"/>
      <c r="C39" s="216" t="s">
        <v>48</v>
      </c>
      <c r="D39" s="252"/>
      <c r="E39" s="252"/>
      <c r="F39" s="252"/>
      <c r="G39" s="217"/>
      <c r="H39" s="169"/>
    </row>
    <row r="40" spans="1:18" s="145" customFormat="1" ht="15.75">
      <c r="A40" s="205"/>
      <c r="B40" s="206"/>
      <c r="C40" s="114" t="s">
        <v>88</v>
      </c>
      <c r="D40" s="163"/>
      <c r="E40" s="163"/>
      <c r="F40" s="163"/>
      <c r="G40" s="163"/>
      <c r="H40" s="169">
        <f>15000</f>
        <v>15000</v>
      </c>
    </row>
    <row r="41" spans="1:18" s="145" customFormat="1" ht="15.75">
      <c r="A41" s="205"/>
      <c r="B41" s="206"/>
      <c r="C41" s="114" t="s">
        <v>254</v>
      </c>
      <c r="D41" s="170"/>
      <c r="E41" s="170"/>
      <c r="F41" s="170"/>
      <c r="G41" s="170"/>
      <c r="H41" s="102">
        <f>19728</f>
        <v>19728</v>
      </c>
    </row>
    <row r="42" spans="1:18" s="145" customFormat="1" ht="15.75">
      <c r="A42" s="207"/>
      <c r="B42" s="208"/>
      <c r="C42" s="114" t="s">
        <v>91</v>
      </c>
      <c r="D42" s="170"/>
      <c r="E42" s="170"/>
      <c r="F42" s="170"/>
      <c r="G42" s="170"/>
      <c r="H42" s="102">
        <f>24004</f>
        <v>24004</v>
      </c>
    </row>
    <row r="43" spans="1:18">
      <c r="A43" s="95"/>
      <c r="B43" s="95"/>
      <c r="C43" s="95"/>
      <c r="D43" s="95"/>
      <c r="E43" s="96"/>
      <c r="F43" s="96"/>
      <c r="G43" s="96"/>
      <c r="H43" s="96"/>
      <c r="I43" s="96"/>
      <c r="J43" s="96"/>
    </row>
    <row r="44" spans="1:18" ht="42.75" customHeight="1">
      <c r="A44" s="185" t="s">
        <v>76</v>
      </c>
      <c r="B44" s="185"/>
      <c r="C44" s="185"/>
      <c r="D44" s="185"/>
      <c r="E44" s="185"/>
      <c r="F44" s="185"/>
      <c r="G44" s="185"/>
      <c r="H44" s="185"/>
      <c r="I44" s="66"/>
      <c r="J44" s="66"/>
    </row>
    <row r="45" spans="1:18">
      <c r="A45" s="95"/>
      <c r="B45" s="95"/>
      <c r="C45" s="95"/>
      <c r="D45" s="95"/>
      <c r="E45" s="96"/>
      <c r="F45" s="96"/>
      <c r="G45" s="96"/>
      <c r="H45" s="96"/>
      <c r="I45" s="96"/>
      <c r="J45" s="96"/>
    </row>
    <row r="46" spans="1:18" ht="33" customHeight="1">
      <c r="A46" s="186" t="s">
        <v>49</v>
      </c>
      <c r="B46" s="186"/>
      <c r="C46" s="186"/>
      <c r="D46" s="186"/>
      <c r="E46" s="186"/>
      <c r="F46" s="186"/>
      <c r="G46" s="186"/>
      <c r="H46" s="186"/>
      <c r="I46" s="97"/>
      <c r="J46" s="97"/>
      <c r="K46" s="74"/>
      <c r="L46" s="74"/>
      <c r="M46" s="74"/>
      <c r="N46" s="74"/>
      <c r="O46" s="74"/>
      <c r="P46" s="74"/>
    </row>
    <row r="47" spans="1:18" ht="15">
      <c r="A47" s="98"/>
      <c r="B47" s="98"/>
      <c r="C47" s="98"/>
      <c r="D47" s="98"/>
      <c r="E47" s="98"/>
      <c r="F47" s="98"/>
      <c r="G47" s="98"/>
      <c r="H47" s="99" t="s">
        <v>227</v>
      </c>
      <c r="J47" s="98"/>
      <c r="M47" s="98"/>
      <c r="N47" s="98"/>
      <c r="O47" s="98"/>
      <c r="P47" s="98"/>
    </row>
    <row r="48" spans="1:18" ht="15.75">
      <c r="A48" s="218" t="s">
        <v>112</v>
      </c>
      <c r="B48" s="220"/>
      <c r="C48" s="218" t="s">
        <v>47</v>
      </c>
      <c r="D48" s="219"/>
      <c r="E48" s="219"/>
      <c r="F48" s="219"/>
      <c r="G48" s="220"/>
      <c r="H48" s="89" t="s">
        <v>225</v>
      </c>
      <c r="I48" s="98"/>
      <c r="J48" s="98"/>
      <c r="K48" s="98"/>
      <c r="L48" s="98"/>
    </row>
    <row r="49" spans="1:17" ht="15" customHeight="1">
      <c r="A49" s="203" t="s">
        <v>244</v>
      </c>
      <c r="B49" s="204"/>
      <c r="C49" s="114" t="s">
        <v>134</v>
      </c>
      <c r="D49" s="100"/>
      <c r="E49" s="100"/>
      <c r="F49" s="100"/>
      <c r="G49" s="101"/>
      <c r="H49" s="102">
        <f>H70</f>
        <v>7865.3540493917008</v>
      </c>
      <c r="I49" s="98"/>
      <c r="J49" s="98"/>
      <c r="K49" s="98"/>
      <c r="L49" s="98"/>
    </row>
    <row r="50" spans="1:17" ht="15" customHeight="1">
      <c r="A50" s="205"/>
      <c r="B50" s="206"/>
      <c r="C50" s="67" t="s">
        <v>35</v>
      </c>
      <c r="D50" s="100"/>
      <c r="E50" s="100"/>
      <c r="F50" s="100"/>
      <c r="G50" s="101"/>
      <c r="H50" s="102">
        <f>661+661</f>
        <v>1322</v>
      </c>
      <c r="I50" s="98"/>
      <c r="J50" s="98"/>
      <c r="K50" s="98"/>
      <c r="L50" s="98"/>
    </row>
    <row r="51" spans="1:17" ht="15">
      <c r="A51" s="205"/>
      <c r="B51" s="206"/>
      <c r="C51" s="197" t="s">
        <v>31</v>
      </c>
      <c r="D51" s="198"/>
      <c r="E51" s="198"/>
      <c r="F51" s="198"/>
      <c r="G51" s="199"/>
      <c r="H51" s="152">
        <f>2743+3369</f>
        <v>6112</v>
      </c>
      <c r="I51" s="98"/>
      <c r="J51" s="98"/>
      <c r="K51" s="98"/>
      <c r="L51" s="98"/>
    </row>
    <row r="52" spans="1:17" ht="15.75">
      <c r="A52" s="205"/>
      <c r="B52" s="206"/>
      <c r="C52" s="218" t="s">
        <v>48</v>
      </c>
      <c r="D52" s="219"/>
      <c r="E52" s="219"/>
      <c r="F52" s="219"/>
      <c r="G52" s="220"/>
      <c r="H52" s="165"/>
      <c r="I52" s="98"/>
      <c r="J52" s="98"/>
      <c r="K52" s="98"/>
      <c r="L52" s="98"/>
    </row>
    <row r="53" spans="1:17" ht="14.25">
      <c r="A53" s="207"/>
      <c r="B53" s="208"/>
      <c r="C53" s="250" t="s">
        <v>228</v>
      </c>
      <c r="D53" s="221"/>
      <c r="E53" s="221"/>
      <c r="F53" s="221"/>
      <c r="G53" s="222"/>
      <c r="H53" s="102">
        <v>6088.12</v>
      </c>
      <c r="I53" s="96"/>
      <c r="J53" s="96"/>
    </row>
    <row r="54" spans="1:17">
      <c r="A54" s="90" t="s">
        <v>193</v>
      </c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</row>
    <row r="55" spans="1:17" ht="18" customHeight="1">
      <c r="A55" s="187" t="s">
        <v>111</v>
      </c>
      <c r="B55" s="187"/>
      <c r="C55" s="187"/>
      <c r="D55" s="187"/>
      <c r="E55" s="187"/>
      <c r="F55" s="187"/>
      <c r="G55" s="187"/>
      <c r="H55" s="187"/>
      <c r="I55" s="106"/>
      <c r="J55" s="106"/>
    </row>
    <row r="56" spans="1:17" ht="12" customHeight="1">
      <c r="A56" s="106"/>
      <c r="B56" s="106"/>
      <c r="C56" s="106"/>
      <c r="D56" s="106"/>
      <c r="E56" s="106"/>
      <c r="F56" s="106"/>
      <c r="G56" s="106"/>
      <c r="H56" s="106"/>
      <c r="I56" s="106"/>
      <c r="J56" s="106"/>
    </row>
    <row r="57" spans="1:17" ht="15.75">
      <c r="A57" s="188" t="s">
        <v>109</v>
      </c>
      <c r="B57" s="188"/>
      <c r="C57" s="188"/>
      <c r="D57" s="188"/>
      <c r="E57" s="188"/>
      <c r="F57" s="188"/>
      <c r="G57" s="188"/>
      <c r="H57" s="188"/>
      <c r="I57" s="74"/>
      <c r="J57" s="74"/>
    </row>
    <row r="58" spans="1:17" ht="15.75">
      <c r="A58" s="107"/>
      <c r="B58" s="107"/>
      <c r="C58" s="107"/>
      <c r="D58" s="107"/>
      <c r="E58" s="107"/>
      <c r="F58" s="107"/>
      <c r="G58" s="107"/>
      <c r="H58" s="99" t="s">
        <v>229</v>
      </c>
      <c r="J58" s="107"/>
    </row>
    <row r="59" spans="1:17" ht="15.75">
      <c r="A59" s="230" t="s">
        <v>110</v>
      </c>
      <c r="B59" s="230"/>
      <c r="C59" s="230"/>
      <c r="D59" s="230"/>
      <c r="E59" s="230"/>
      <c r="F59" s="230"/>
      <c r="G59" s="231"/>
      <c r="H59" s="108">
        <f>SUM(H68:H81)+H61+H67</f>
        <v>1225716.8043768287</v>
      </c>
      <c r="I59" s="109"/>
      <c r="J59" s="109"/>
    </row>
    <row r="60" spans="1:17" ht="15">
      <c r="A60" s="110" t="s">
        <v>98</v>
      </c>
      <c r="B60" s="232" t="s">
        <v>99</v>
      </c>
      <c r="C60" s="233"/>
      <c r="D60" s="233"/>
      <c r="E60" s="233"/>
      <c r="F60" s="233"/>
      <c r="G60" s="234"/>
      <c r="H60" s="111" t="s">
        <v>100</v>
      </c>
      <c r="I60" s="112"/>
    </row>
    <row r="61" spans="1:17" ht="15.75">
      <c r="A61" s="113" t="s">
        <v>101</v>
      </c>
      <c r="B61" s="114" t="s">
        <v>102</v>
      </c>
      <c r="C61" s="91"/>
      <c r="D61" s="91"/>
      <c r="E61" s="91"/>
      <c r="F61" s="91"/>
      <c r="G61" s="91"/>
      <c r="H61" s="94">
        <f>SUM(H62:H66)</f>
        <v>121113.82545678811</v>
      </c>
      <c r="I61" s="75"/>
      <c r="K61" s="105"/>
    </row>
    <row r="62" spans="1:17" ht="15">
      <c r="A62" s="113"/>
      <c r="B62" s="114" t="s">
        <v>43</v>
      </c>
      <c r="C62" s="91"/>
      <c r="D62" s="91"/>
      <c r="E62" s="91"/>
      <c r="F62" s="91"/>
      <c r="G62" s="91"/>
      <c r="H62" s="102">
        <f>98+5877</f>
        <v>5975</v>
      </c>
      <c r="I62" s="75"/>
      <c r="K62" s="251"/>
      <c r="L62" s="251"/>
      <c r="M62" s="251"/>
      <c r="N62" s="251"/>
      <c r="O62" s="251"/>
      <c r="P62" s="251"/>
      <c r="Q62" s="251"/>
    </row>
    <row r="63" spans="1:17" ht="15">
      <c r="A63" s="113"/>
      <c r="B63" s="114" t="s">
        <v>256</v>
      </c>
      <c r="C63" s="91"/>
      <c r="D63" s="91"/>
      <c r="E63" s="91"/>
      <c r="F63" s="91"/>
      <c r="G63" s="91"/>
      <c r="H63" s="102">
        <f>2471+45377</f>
        <v>47848</v>
      </c>
      <c r="I63" s="75"/>
      <c r="K63" s="162"/>
      <c r="L63" s="162"/>
      <c r="M63" s="162"/>
      <c r="N63" s="162"/>
      <c r="O63" s="162"/>
      <c r="P63" s="162"/>
      <c r="Q63" s="162"/>
    </row>
    <row r="64" spans="1:17" ht="15">
      <c r="A64" s="113"/>
      <c r="B64" s="114" t="s">
        <v>0</v>
      </c>
      <c r="C64" s="91"/>
      <c r="D64" s="91"/>
      <c r="E64" s="91"/>
      <c r="F64" s="91"/>
      <c r="G64" s="91"/>
      <c r="H64" s="102">
        <f>229+2157</f>
        <v>2386</v>
      </c>
      <c r="I64" s="75"/>
      <c r="K64" s="251"/>
      <c r="L64" s="251"/>
      <c r="M64" s="251"/>
      <c r="N64" s="251"/>
      <c r="O64" s="251"/>
      <c r="P64" s="251"/>
      <c r="Q64" s="251"/>
    </row>
    <row r="65" spans="1:22" ht="15">
      <c r="A65" s="113"/>
      <c r="B65" s="114" t="s">
        <v>32</v>
      </c>
      <c r="C65" s="91"/>
      <c r="D65" s="91"/>
      <c r="E65" s="91"/>
      <c r="F65" s="91"/>
      <c r="G65" s="91"/>
      <c r="H65" s="102">
        <f>1438+1650</f>
        <v>3088</v>
      </c>
      <c r="I65" s="75"/>
      <c r="K65" s="251"/>
      <c r="L65" s="251"/>
      <c r="M65" s="251"/>
      <c r="N65" s="251"/>
      <c r="O65" s="251"/>
      <c r="P65" s="251"/>
      <c r="Q65" s="251"/>
    </row>
    <row r="66" spans="1:22" ht="47.25" customHeight="1">
      <c r="A66" s="113"/>
      <c r="B66" s="213" t="s">
        <v>15</v>
      </c>
      <c r="C66" s="214"/>
      <c r="D66" s="214"/>
      <c r="E66" s="214"/>
      <c r="F66" s="214"/>
      <c r="G66" s="214"/>
      <c r="H66" s="102">
        <f>Основное!$D$5*Основное!I32</f>
        <v>61816.825456788109</v>
      </c>
      <c r="I66" s="75"/>
      <c r="K66" s="251"/>
      <c r="L66" s="251"/>
      <c r="M66" s="251"/>
      <c r="N66" s="251"/>
      <c r="O66" s="251"/>
      <c r="P66" s="251"/>
      <c r="Q66" s="251"/>
    </row>
    <row r="67" spans="1:22" ht="15">
      <c r="A67" s="113" t="s">
        <v>103</v>
      </c>
      <c r="B67" s="114" t="s">
        <v>140</v>
      </c>
      <c r="C67" s="91"/>
      <c r="D67" s="91"/>
      <c r="E67" s="91"/>
      <c r="F67" s="91"/>
      <c r="G67" s="91"/>
      <c r="H67" s="102">
        <f>Основное!$D$5*Основное!I33+H34</f>
        <v>115094.23276613285</v>
      </c>
      <c r="I67" s="75"/>
      <c r="K67" s="251"/>
      <c r="L67" s="251"/>
      <c r="M67" s="251"/>
      <c r="N67" s="251"/>
      <c r="O67" s="251"/>
      <c r="P67" s="251"/>
      <c r="Q67" s="251"/>
    </row>
    <row r="68" spans="1:22" ht="15">
      <c r="A68" s="113" t="s">
        <v>276</v>
      </c>
      <c r="B68" s="61" t="s">
        <v>275</v>
      </c>
      <c r="C68" s="91"/>
      <c r="D68" s="91"/>
      <c r="E68" s="91"/>
      <c r="F68" s="91"/>
      <c r="G68" s="91"/>
      <c r="H68" s="102">
        <f>Основное!$D$5*Основное!I34</f>
        <v>8321.0264065181782</v>
      </c>
      <c r="I68" s="75"/>
      <c r="K68" s="162"/>
      <c r="L68" s="162"/>
      <c r="M68" s="162"/>
      <c r="N68" s="162"/>
      <c r="O68" s="162"/>
      <c r="P68" s="162"/>
      <c r="Q68" s="162"/>
    </row>
    <row r="69" spans="1:22" ht="14.25">
      <c r="A69" s="113" t="s">
        <v>277</v>
      </c>
      <c r="B69" s="114" t="s">
        <v>104</v>
      </c>
      <c r="C69" s="91"/>
      <c r="D69" s="91"/>
      <c r="E69" s="91"/>
      <c r="F69" s="91"/>
      <c r="G69" s="91"/>
      <c r="H69" s="102">
        <f>Основное!$D$5*Основное!I35</f>
        <v>44082.779052928207</v>
      </c>
      <c r="I69" s="117"/>
      <c r="J69" s="117"/>
      <c r="K69" s="212"/>
      <c r="L69" s="212"/>
      <c r="M69" s="212"/>
      <c r="N69" s="212"/>
      <c r="O69" s="212"/>
      <c r="P69" s="212"/>
      <c r="Q69" s="212"/>
      <c r="R69" s="212"/>
      <c r="S69" s="212"/>
      <c r="T69" s="212"/>
      <c r="U69" s="212"/>
      <c r="V69" s="212"/>
    </row>
    <row r="70" spans="1:22" ht="14.25">
      <c r="A70" s="113" t="s">
        <v>273</v>
      </c>
      <c r="B70" s="114" t="s">
        <v>274</v>
      </c>
      <c r="C70" s="91"/>
      <c r="D70" s="91"/>
      <c r="E70" s="91"/>
      <c r="F70" s="91"/>
      <c r="G70" s="91"/>
      <c r="H70" s="102">
        <f>Основное!$D$5*Основное!I36</f>
        <v>7865.3540493917008</v>
      </c>
      <c r="I70" s="117"/>
      <c r="J70" s="117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</row>
    <row r="71" spans="1:22" ht="15">
      <c r="A71" s="113" t="s">
        <v>278</v>
      </c>
      <c r="B71" s="114" t="s">
        <v>271</v>
      </c>
      <c r="C71" s="91"/>
      <c r="D71" s="91"/>
      <c r="E71" s="91"/>
      <c r="F71" s="91"/>
      <c r="G71" s="91"/>
      <c r="H71" s="102">
        <f>Основное!$D$5*Основное!I37</f>
        <v>72592.752964578409</v>
      </c>
      <c r="I71" s="75"/>
    </row>
    <row r="72" spans="1:22" ht="15">
      <c r="A72" s="113" t="s">
        <v>279</v>
      </c>
      <c r="B72" s="114" t="s">
        <v>272</v>
      </c>
      <c r="C72" s="91"/>
      <c r="D72" s="91"/>
      <c r="E72" s="91"/>
      <c r="F72" s="91"/>
      <c r="G72" s="91"/>
      <c r="H72" s="102">
        <f>Основное!$D$5*Основное!I38</f>
        <v>5244.8443184339785</v>
      </c>
      <c r="I72" s="75"/>
    </row>
    <row r="73" spans="1:22" ht="15">
      <c r="A73" s="113" t="s">
        <v>280</v>
      </c>
      <c r="B73" s="114" t="s">
        <v>105</v>
      </c>
      <c r="C73" s="91"/>
      <c r="D73" s="91"/>
      <c r="E73" s="91"/>
      <c r="F73" s="91"/>
      <c r="G73" s="91"/>
      <c r="H73" s="102">
        <f>Основное!$D$5*Основное!I39</f>
        <v>70469.119845877358</v>
      </c>
      <c r="I73" s="75"/>
    </row>
    <row r="74" spans="1:22" ht="15">
      <c r="A74" s="113" t="s">
        <v>281</v>
      </c>
      <c r="B74" s="114" t="s">
        <v>136</v>
      </c>
      <c r="C74" s="91"/>
      <c r="D74" s="91"/>
      <c r="E74" s="91"/>
      <c r="F74" s="91"/>
      <c r="G74" s="91"/>
      <c r="H74" s="102">
        <f>Основное!$D$5*Основное!I40</f>
        <v>168958.81522704504</v>
      </c>
      <c r="I74" s="75"/>
    </row>
    <row r="75" spans="1:22" ht="15">
      <c r="A75" s="113" t="s">
        <v>282</v>
      </c>
      <c r="B75" s="114" t="s">
        <v>141</v>
      </c>
      <c r="C75" s="91"/>
      <c r="D75" s="91"/>
      <c r="E75" s="91"/>
      <c r="F75" s="91"/>
      <c r="G75" s="91"/>
      <c r="H75" s="102">
        <f>Основное!$D$5*Основное!I41</f>
        <v>20175.059165754319</v>
      </c>
      <c r="I75" s="75"/>
    </row>
    <row r="76" spans="1:22" ht="15">
      <c r="A76" s="113" t="s">
        <v>283</v>
      </c>
      <c r="B76" s="114" t="s">
        <v>133</v>
      </c>
      <c r="C76" s="91"/>
      <c r="D76" s="91"/>
      <c r="E76" s="91"/>
      <c r="F76" s="91"/>
      <c r="G76" s="91"/>
      <c r="H76" s="102">
        <f>Основное!$D$5*Основное!I42</f>
        <v>10476.027406527202</v>
      </c>
      <c r="I76" s="75"/>
    </row>
    <row r="77" spans="1:22" ht="15">
      <c r="A77" s="113" t="s">
        <v>284</v>
      </c>
      <c r="B77" s="114" t="s">
        <v>139</v>
      </c>
      <c r="C77" s="91"/>
      <c r="D77" s="91"/>
      <c r="E77" s="91"/>
      <c r="F77" s="91"/>
      <c r="G77" s="91"/>
      <c r="H77" s="102">
        <f>Основное!$D$5*Основное!I43</f>
        <v>3859.6794678714655</v>
      </c>
      <c r="I77" s="75"/>
    </row>
    <row r="78" spans="1:22" ht="15">
      <c r="A78" s="113" t="s">
        <v>285</v>
      </c>
      <c r="B78" s="114" t="s">
        <v>106</v>
      </c>
      <c r="C78" s="91"/>
      <c r="D78" s="91"/>
      <c r="E78" s="91"/>
      <c r="F78" s="91"/>
      <c r="G78" s="91"/>
      <c r="H78" s="102">
        <f>Основное!$D$5*Основное!I44</f>
        <v>456112.37270440563</v>
      </c>
      <c r="I78" s="75"/>
    </row>
    <row r="79" spans="1:22" ht="15">
      <c r="A79" s="113" t="s">
        <v>286</v>
      </c>
      <c r="B79" s="114" t="s">
        <v>132</v>
      </c>
      <c r="C79" s="91"/>
      <c r="D79" s="91"/>
      <c r="E79" s="91"/>
      <c r="F79" s="91"/>
      <c r="G79" s="91"/>
      <c r="H79" s="102">
        <f>Основное!$D$5*Основное!I45</f>
        <v>92134.699286289921</v>
      </c>
      <c r="I79" s="75"/>
    </row>
    <row r="80" spans="1:22" ht="15">
      <c r="A80" s="113" t="s">
        <v>287</v>
      </c>
      <c r="B80" s="114" t="s">
        <v>128</v>
      </c>
      <c r="C80" s="91"/>
      <c r="D80" s="91"/>
      <c r="E80" s="91"/>
      <c r="F80" s="91"/>
      <c r="G80" s="91"/>
      <c r="H80" s="102">
        <f>Основное!$D$5*Основное!I46</f>
        <v>13706.31835676467</v>
      </c>
      <c r="I80" s="75"/>
    </row>
    <row r="81" spans="1:15" ht="15">
      <c r="A81" s="113" t="s">
        <v>288</v>
      </c>
      <c r="B81" s="114" t="s">
        <v>50</v>
      </c>
      <c r="C81" s="91"/>
      <c r="D81" s="91"/>
      <c r="E81" s="91"/>
      <c r="F81" s="91"/>
      <c r="G81" s="91"/>
      <c r="H81" s="102">
        <f>Основное!$D$5*Основное!I47</f>
        <v>15509.89790152175</v>
      </c>
      <c r="I81" s="75"/>
    </row>
    <row r="82" spans="1:15">
      <c r="A82" s="119"/>
      <c r="B82" s="119"/>
      <c r="C82" s="119"/>
      <c r="D82" s="119"/>
      <c r="E82" s="119"/>
      <c r="F82" s="119"/>
      <c r="G82" s="119"/>
      <c r="H82" s="120"/>
      <c r="I82" s="117"/>
      <c r="J82" s="117"/>
    </row>
    <row r="83" spans="1:15" s="145" customFormat="1" ht="26.25" customHeight="1">
      <c r="A83" s="189" t="s">
        <v>12</v>
      </c>
      <c r="B83" s="189"/>
      <c r="C83" s="189"/>
      <c r="D83" s="189"/>
      <c r="E83" s="189"/>
      <c r="F83" s="189"/>
      <c r="G83" s="189"/>
      <c r="H83" s="189"/>
      <c r="I83" s="121"/>
      <c r="J83" s="121"/>
      <c r="K83" s="82"/>
    </row>
    <row r="84" spans="1:15" s="145" customFormat="1">
      <c r="A84" s="122"/>
      <c r="B84" s="215"/>
      <c r="C84" s="215"/>
      <c r="D84" s="215"/>
      <c r="E84" s="215"/>
      <c r="F84" s="215"/>
      <c r="G84" s="215"/>
      <c r="H84" s="215"/>
      <c r="I84" s="123"/>
      <c r="J84" s="123"/>
    </row>
    <row r="85" spans="1:15" s="145" customFormat="1" ht="15.75">
      <c r="A85" s="184" t="s">
        <v>259</v>
      </c>
      <c r="B85" s="184"/>
      <c r="C85" s="184"/>
      <c r="D85" s="184"/>
      <c r="E85" s="184"/>
      <c r="F85" s="184"/>
      <c r="G85" s="184"/>
      <c r="I85" s="122"/>
    </row>
    <row r="86" spans="1:15" s="145" customFormat="1" ht="15.75">
      <c r="A86" s="112"/>
      <c r="B86" s="112"/>
      <c r="C86" s="112"/>
      <c r="D86" s="112"/>
      <c r="E86" s="86"/>
      <c r="F86" s="82"/>
      <c r="G86" s="124" t="s">
        <v>230</v>
      </c>
      <c r="H86" s="123"/>
      <c r="I86" s="123"/>
    </row>
    <row r="87" spans="1:15" s="145" customFormat="1" ht="43.5">
      <c r="A87" s="125" t="s">
        <v>262</v>
      </c>
      <c r="B87" s="125" t="s">
        <v>261</v>
      </c>
      <c r="C87" s="126" t="s">
        <v>231</v>
      </c>
      <c r="D87" s="126" t="s">
        <v>232</v>
      </c>
      <c r="E87" s="127" t="s">
        <v>257</v>
      </c>
      <c r="F87" s="127" t="s">
        <v>258</v>
      </c>
      <c r="G87" s="178" t="s">
        <v>290</v>
      </c>
      <c r="J87" s="123"/>
    </row>
    <row r="88" spans="1:15" s="83" customFormat="1" ht="15">
      <c r="A88" s="144">
        <v>1496.88</v>
      </c>
      <c r="B88" s="148">
        <v>6480</v>
      </c>
      <c r="C88" s="142">
        <v>6480</v>
      </c>
      <c r="D88" s="144">
        <v>12000</v>
      </c>
      <c r="E88" s="142">
        <v>6000</v>
      </c>
      <c r="F88" s="142">
        <v>3000</v>
      </c>
      <c r="G88" s="179">
        <f>SUM(A88:F88)</f>
        <v>35456.880000000005</v>
      </c>
      <c r="H88" s="128"/>
      <c r="I88" s="128"/>
      <c r="J88" s="128"/>
    </row>
    <row r="89" spans="1:15" s="145" customFormat="1" ht="15">
      <c r="A89" s="129"/>
      <c r="B89" s="129"/>
      <c r="C89" s="130"/>
      <c r="D89" s="130"/>
      <c r="E89" s="130"/>
      <c r="F89" s="130"/>
      <c r="G89" s="82"/>
      <c r="H89" s="123"/>
      <c r="I89" s="123"/>
      <c r="J89" s="123"/>
    </row>
    <row r="90" spans="1:15" s="145" customFormat="1" ht="95.25" customHeight="1">
      <c r="A90" s="228" t="s">
        <v>51</v>
      </c>
      <c r="B90" s="228"/>
      <c r="C90" s="228"/>
      <c r="D90" s="228"/>
      <c r="E90" s="228"/>
      <c r="F90" s="228"/>
      <c r="G90" s="228"/>
      <c r="H90" s="228"/>
      <c r="I90" s="131"/>
      <c r="J90" s="131"/>
      <c r="K90" s="131"/>
      <c r="L90" s="131"/>
    </row>
    <row r="91" spans="1:15" ht="63.75" customHeight="1">
      <c r="A91" s="229" t="s">
        <v>52</v>
      </c>
      <c r="B91" s="229"/>
      <c r="C91" s="229"/>
      <c r="D91" s="229"/>
      <c r="E91" s="229"/>
      <c r="F91" s="229"/>
      <c r="G91" s="229"/>
      <c r="H91" s="229"/>
      <c r="I91" s="132"/>
      <c r="J91" s="132"/>
      <c r="K91" s="132"/>
      <c r="L91" s="132"/>
      <c r="M91" s="132"/>
      <c r="N91" s="132"/>
      <c r="O91" s="132"/>
    </row>
    <row r="92" spans="1:15">
      <c r="A92" s="133"/>
      <c r="B92" s="133"/>
      <c r="C92" s="133"/>
      <c r="D92" s="133"/>
      <c r="E92" s="133"/>
      <c r="F92" s="133"/>
      <c r="G92" s="133"/>
      <c r="H92" s="133"/>
      <c r="I92" s="133"/>
      <c r="J92" s="133"/>
      <c r="K92" s="133"/>
      <c r="L92" s="133"/>
    </row>
    <row r="93" spans="1:15" ht="15">
      <c r="A93" s="242" t="s">
        <v>176</v>
      </c>
      <c r="B93" s="242"/>
      <c r="C93" s="242"/>
      <c r="D93" s="242"/>
      <c r="E93" s="242"/>
      <c r="F93" s="242"/>
      <c r="G93" s="242"/>
      <c r="H93" s="242"/>
      <c r="I93" s="134"/>
      <c r="J93" s="135"/>
      <c r="K93" s="135"/>
      <c r="L93" s="135"/>
      <c r="M93" s="135"/>
      <c r="N93" s="135"/>
      <c r="O93" s="135"/>
    </row>
    <row r="94" spans="1:15" ht="15">
      <c r="A94" s="242" t="s">
        <v>238</v>
      </c>
      <c r="B94" s="242"/>
      <c r="C94" s="242"/>
      <c r="D94" s="242"/>
      <c r="E94" s="242"/>
      <c r="F94" s="242"/>
      <c r="G94" s="242"/>
      <c r="H94" s="242"/>
      <c r="I94" s="134"/>
      <c r="J94" s="135"/>
      <c r="K94" s="135"/>
      <c r="L94" s="135"/>
      <c r="M94" s="135"/>
      <c r="N94" s="135"/>
      <c r="O94" s="135"/>
    </row>
    <row r="95" spans="1:15" ht="14.25">
      <c r="A95" s="193" t="s">
        <v>233</v>
      </c>
      <c r="B95" s="193"/>
      <c r="C95" s="193"/>
      <c r="D95" s="193"/>
      <c r="E95" s="193"/>
      <c r="F95" s="193"/>
      <c r="G95" s="193"/>
      <c r="H95" s="193"/>
      <c r="I95" s="149"/>
      <c r="J95" s="149"/>
      <c r="K95" s="149"/>
      <c r="L95" s="149"/>
      <c r="M95" s="149"/>
      <c r="N95" s="149"/>
      <c r="O95" s="149"/>
    </row>
    <row r="96" spans="1:15" ht="15">
      <c r="A96" s="182" t="s">
        <v>239</v>
      </c>
      <c r="B96" s="182"/>
      <c r="C96" s="182"/>
      <c r="D96" s="182"/>
      <c r="E96" s="182"/>
      <c r="F96" s="182"/>
      <c r="G96" s="182"/>
      <c r="H96" s="182"/>
      <c r="I96" s="136"/>
      <c r="J96" s="137"/>
      <c r="K96" s="137"/>
      <c r="L96" s="137"/>
      <c r="M96" s="137"/>
      <c r="N96" s="137"/>
      <c r="O96" s="137"/>
    </row>
    <row r="97" spans="1:15" ht="15">
      <c r="A97" s="183" t="s">
        <v>234</v>
      </c>
      <c r="B97" s="183"/>
      <c r="C97" s="183"/>
      <c r="D97" s="183"/>
      <c r="E97" s="183"/>
      <c r="F97" s="183"/>
      <c r="G97" s="183"/>
      <c r="H97" s="183"/>
      <c r="I97" s="138"/>
      <c r="J97" s="139"/>
      <c r="K97" s="139"/>
      <c r="L97" s="139"/>
      <c r="M97" s="139"/>
      <c r="N97" s="139"/>
      <c r="O97" s="139"/>
    </row>
  </sheetData>
  <mergeCells count="52">
    <mergeCell ref="B66:G66"/>
    <mergeCell ref="C52:G52"/>
    <mergeCell ref="K67:Q67"/>
    <mergeCell ref="K62:Q62"/>
    <mergeCell ref="K65:Q65"/>
    <mergeCell ref="K66:Q66"/>
    <mergeCell ref="K69:V69"/>
    <mergeCell ref="C33:G33"/>
    <mergeCell ref="A46:H46"/>
    <mergeCell ref="C39:G39"/>
    <mergeCell ref="A34:B42"/>
    <mergeCell ref="A44:H44"/>
    <mergeCell ref="A33:B33"/>
    <mergeCell ref="C53:G53"/>
    <mergeCell ref="K64:Q64"/>
    <mergeCell ref="C51:G51"/>
    <mergeCell ref="A21:B23"/>
    <mergeCell ref="A24:B24"/>
    <mergeCell ref="A31:H31"/>
    <mergeCell ref="D21:D23"/>
    <mergeCell ref="C21:C23"/>
    <mergeCell ref="A28:H28"/>
    <mergeCell ref="E32:F32"/>
    <mergeCell ref="C32:D32"/>
    <mergeCell ref="A1:H1"/>
    <mergeCell ref="A2:H2"/>
    <mergeCell ref="A3:H3"/>
    <mergeCell ref="A17:H17"/>
    <mergeCell ref="B20:F20"/>
    <mergeCell ref="A19:H19"/>
    <mergeCell ref="E5:H7"/>
    <mergeCell ref="G21:G23"/>
    <mergeCell ref="A97:H97"/>
    <mergeCell ref="A55:H55"/>
    <mergeCell ref="A57:H57"/>
    <mergeCell ref="A83:H83"/>
    <mergeCell ref="A85:G85"/>
    <mergeCell ref="A91:H91"/>
    <mergeCell ref="B84:H84"/>
    <mergeCell ref="A90:H90"/>
    <mergeCell ref="A93:H93"/>
    <mergeCell ref="A59:G59"/>
    <mergeCell ref="A94:H94"/>
    <mergeCell ref="A95:H95"/>
    <mergeCell ref="A96:H96"/>
    <mergeCell ref="E21:E23"/>
    <mergeCell ref="H21:H23"/>
    <mergeCell ref="F21:F23"/>
    <mergeCell ref="A48:B48"/>
    <mergeCell ref="A49:B53"/>
    <mergeCell ref="C48:G48"/>
    <mergeCell ref="B60:G60"/>
  </mergeCells>
  <phoneticPr fontId="11" type="noConversion"/>
  <hyperlinks>
    <hyperlink ref="A95" r:id="rId1" display="blgorod@rambler.ru,"/>
  </hyperlinks>
  <pageMargins left="0.78740157480314965" right="0.78740157480314965" top="0.78740157480314965" bottom="0.82677165354330717" header="0.51181102362204722" footer="0.51181102362204722"/>
  <pageSetup paperSize="9" scale="75" orientation="portrait" verticalDpi="360" r:id="rId2"/>
  <headerFooter alignWithMargins="0"/>
  <rowBreaks count="1" manualBreakCount="1">
    <brk id="56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W92"/>
  <sheetViews>
    <sheetView view="pageBreakPreview" topLeftCell="A72" zoomScaleSheetLayoutView="100" workbookViewId="0">
      <selection activeCell="C84" sqref="C84"/>
    </sheetView>
  </sheetViews>
  <sheetFormatPr defaultRowHeight="12.75"/>
  <cols>
    <col min="1" max="1" width="12.140625" style="140" customWidth="1"/>
    <col min="2" max="2" width="13" style="140" customWidth="1"/>
    <col min="3" max="3" width="12.5703125" style="140" customWidth="1"/>
    <col min="4" max="4" width="11.85546875" style="140" customWidth="1"/>
    <col min="5" max="5" width="17.5703125" style="140" customWidth="1"/>
    <col min="6" max="6" width="14.42578125" style="140" customWidth="1"/>
    <col min="7" max="7" width="21.5703125" style="140" customWidth="1"/>
    <col min="8" max="9" width="12.85546875" style="140" customWidth="1"/>
    <col min="10" max="10" width="3.5703125" style="140" customWidth="1"/>
    <col min="11" max="12" width="9.140625" style="140"/>
    <col min="13" max="13" width="0.5703125" style="140" customWidth="1"/>
    <col min="14" max="15" width="9.140625" style="140"/>
    <col min="16" max="16" width="1.42578125" style="140" customWidth="1"/>
    <col min="17" max="16384" width="9.140625" style="140"/>
  </cols>
  <sheetData>
    <row r="1" spans="1:16" ht="18">
      <c r="A1" s="241" t="s">
        <v>235</v>
      </c>
      <c r="B1" s="241"/>
      <c r="C1" s="241"/>
      <c r="D1" s="241"/>
      <c r="E1" s="241"/>
      <c r="F1" s="241"/>
      <c r="G1" s="241"/>
      <c r="H1" s="241"/>
      <c r="I1" s="62"/>
      <c r="J1" s="62"/>
      <c r="K1" s="62"/>
      <c r="L1" s="62"/>
      <c r="M1" s="62"/>
      <c r="N1" s="62"/>
      <c r="O1" s="62"/>
    </row>
    <row r="2" spans="1:16" ht="18">
      <c r="A2" s="241" t="s">
        <v>33</v>
      </c>
      <c r="B2" s="241"/>
      <c r="C2" s="241"/>
      <c r="D2" s="241"/>
      <c r="E2" s="241"/>
      <c r="F2" s="241"/>
      <c r="G2" s="241"/>
      <c r="H2" s="241"/>
      <c r="I2" s="62"/>
      <c r="J2" s="62"/>
      <c r="K2" s="62"/>
      <c r="L2" s="62"/>
      <c r="M2" s="62"/>
      <c r="N2" s="62"/>
      <c r="O2" s="62"/>
    </row>
    <row r="3" spans="1:16" ht="18">
      <c r="A3" s="194" t="s">
        <v>58</v>
      </c>
      <c r="B3" s="194"/>
      <c r="C3" s="194"/>
      <c r="D3" s="194"/>
      <c r="E3" s="194"/>
      <c r="F3" s="194"/>
      <c r="G3" s="194"/>
      <c r="H3" s="194"/>
      <c r="I3" s="63"/>
      <c r="J3" s="63"/>
      <c r="K3" s="63"/>
      <c r="L3" s="63"/>
      <c r="M3" s="63"/>
      <c r="N3" s="63"/>
      <c r="O3" s="63"/>
    </row>
    <row r="4" spans="1:16" ht="18">
      <c r="A4" s="63"/>
      <c r="B4" s="63"/>
      <c r="C4" s="63"/>
      <c r="D4" s="63"/>
      <c r="E4" s="63"/>
      <c r="F4" s="63"/>
      <c r="G4" s="63"/>
      <c r="H4" s="63"/>
      <c r="I4" s="63"/>
      <c r="J4" s="63"/>
      <c r="K4" s="64"/>
      <c r="L4" s="64"/>
      <c r="M4" s="64"/>
      <c r="N4" s="64"/>
      <c r="O4" s="64"/>
      <c r="P4" s="64"/>
    </row>
    <row r="5" spans="1:16" s="67" customFormat="1" ht="14.25" customHeight="1">
      <c r="A5" s="65" t="s">
        <v>194</v>
      </c>
      <c r="B5" s="65"/>
      <c r="C5" s="65"/>
      <c r="D5" s="65"/>
      <c r="E5" s="196" t="s">
        <v>79</v>
      </c>
      <c r="F5" s="196"/>
      <c r="G5" s="196"/>
      <c r="H5" s="196"/>
      <c r="I5" s="66"/>
      <c r="J5" s="66"/>
    </row>
    <row r="6" spans="1:16" s="67" customFormat="1" ht="14.25">
      <c r="A6" s="65" t="s">
        <v>96</v>
      </c>
      <c r="B6" s="65"/>
      <c r="C6" s="65"/>
      <c r="D6" s="65"/>
      <c r="E6" s="196"/>
      <c r="F6" s="196"/>
      <c r="G6" s="196"/>
      <c r="H6" s="196"/>
      <c r="I6" s="66"/>
      <c r="J6" s="66"/>
    </row>
    <row r="7" spans="1:16" s="67" customFormat="1" ht="14.25">
      <c r="A7" s="65" t="s">
        <v>9</v>
      </c>
      <c r="B7" s="65"/>
      <c r="C7" s="65"/>
      <c r="D7" s="65"/>
      <c r="E7" s="196"/>
      <c r="F7" s="196"/>
      <c r="G7" s="196"/>
      <c r="H7" s="196"/>
      <c r="I7" s="66"/>
      <c r="J7" s="66"/>
    </row>
    <row r="8" spans="1:16" s="67" customFormat="1" ht="14.25">
      <c r="A8" s="65" t="s">
        <v>34</v>
      </c>
      <c r="B8" s="65"/>
      <c r="C8" s="65"/>
      <c r="D8" s="65"/>
      <c r="E8" s="196"/>
      <c r="F8" s="196"/>
      <c r="G8" s="196"/>
      <c r="H8" s="196"/>
      <c r="I8" s="68"/>
      <c r="J8" s="68"/>
    </row>
    <row r="9" spans="1:16" s="67" customFormat="1" ht="14.25">
      <c r="A9" s="65" t="s">
        <v>195</v>
      </c>
      <c r="B9" s="65"/>
      <c r="C9" s="65"/>
      <c r="D9" s="65"/>
      <c r="E9" s="68" t="s">
        <v>211</v>
      </c>
      <c r="F9" s="66"/>
      <c r="G9" s="66"/>
      <c r="H9" s="66"/>
      <c r="I9" s="66"/>
      <c r="J9" s="66"/>
    </row>
    <row r="10" spans="1:16" s="67" customFormat="1" ht="14.25">
      <c r="A10" s="65" t="s">
        <v>117</v>
      </c>
      <c r="B10" s="65"/>
      <c r="C10" s="65"/>
      <c r="D10" s="65"/>
      <c r="F10" s="68"/>
      <c r="G10" s="68"/>
      <c r="H10" s="68"/>
      <c r="I10" s="68"/>
      <c r="J10" s="68"/>
    </row>
    <row r="11" spans="1:16" s="67" customFormat="1" ht="14.25">
      <c r="A11" s="65" t="s">
        <v>196</v>
      </c>
      <c r="B11" s="65"/>
      <c r="C11" s="65"/>
      <c r="D11" s="65"/>
      <c r="E11" s="65" t="s">
        <v>212</v>
      </c>
      <c r="F11" s="65"/>
      <c r="G11" s="65" t="s">
        <v>77</v>
      </c>
      <c r="H11" s="65"/>
      <c r="I11" s="65"/>
      <c r="J11" s="65"/>
    </row>
    <row r="12" spans="1:16" s="67" customFormat="1" ht="14.25">
      <c r="A12" s="65" t="s">
        <v>197</v>
      </c>
      <c r="B12" s="65"/>
      <c r="C12" s="65"/>
      <c r="D12" s="65"/>
      <c r="E12" s="65" t="s">
        <v>213</v>
      </c>
      <c r="F12" s="65"/>
      <c r="G12" s="65" t="s">
        <v>251</v>
      </c>
      <c r="H12" s="65"/>
      <c r="I12" s="65"/>
      <c r="J12" s="65"/>
    </row>
    <row r="13" spans="1:16" s="67" customFormat="1" ht="14.25">
      <c r="A13" s="65" t="s">
        <v>198</v>
      </c>
      <c r="B13" s="65"/>
      <c r="C13" s="65"/>
      <c r="D13" s="65"/>
      <c r="E13" s="65" t="s">
        <v>214</v>
      </c>
      <c r="F13" s="65"/>
      <c r="G13" s="65" t="s">
        <v>27</v>
      </c>
      <c r="H13" s="65"/>
      <c r="I13" s="65"/>
      <c r="J13" s="65"/>
    </row>
    <row r="14" spans="1:16" s="67" customFormat="1" ht="14.25">
      <c r="A14" s="65" t="s">
        <v>199</v>
      </c>
      <c r="B14" s="65"/>
      <c r="C14" s="65"/>
      <c r="D14" s="65"/>
      <c r="E14" s="65" t="s">
        <v>245</v>
      </c>
      <c r="F14" s="65"/>
      <c r="G14" s="65" t="s">
        <v>78</v>
      </c>
      <c r="H14" s="65"/>
      <c r="I14" s="65"/>
      <c r="J14" s="65"/>
    </row>
    <row r="15" spans="1:16" s="67" customFormat="1" ht="14.25">
      <c r="A15" s="65" t="s">
        <v>200</v>
      </c>
      <c r="B15" s="65"/>
      <c r="C15" s="65"/>
      <c r="D15" s="65"/>
      <c r="E15" s="65"/>
      <c r="F15" s="65"/>
      <c r="G15" s="65"/>
      <c r="H15" s="65"/>
      <c r="I15" s="65"/>
      <c r="J15" s="65"/>
    </row>
    <row r="16" spans="1:16" ht="18.75">
      <c r="A16" s="69"/>
      <c r="B16" s="69"/>
      <c r="C16" s="69"/>
      <c r="D16" s="69"/>
      <c r="E16" s="69"/>
      <c r="F16" s="70"/>
      <c r="G16" s="70"/>
      <c r="H16" s="70"/>
      <c r="I16" s="70"/>
      <c r="J16" s="70"/>
      <c r="K16" s="71"/>
      <c r="L16" s="71"/>
      <c r="M16" s="71"/>
      <c r="N16" s="71"/>
      <c r="O16" s="71"/>
      <c r="P16" s="71"/>
    </row>
    <row r="17" spans="1:16" ht="30" customHeight="1">
      <c r="A17" s="185" t="s">
        <v>80</v>
      </c>
      <c r="B17" s="185"/>
      <c r="C17" s="185"/>
      <c r="D17" s="185"/>
      <c r="E17" s="185"/>
      <c r="F17" s="185"/>
      <c r="G17" s="185"/>
      <c r="H17" s="185"/>
      <c r="I17" s="66"/>
      <c r="J17" s="66"/>
      <c r="K17" s="72"/>
      <c r="L17" s="72"/>
      <c r="M17" s="72"/>
      <c r="N17" s="72"/>
      <c r="O17" s="72"/>
      <c r="P17" s="72"/>
    </row>
    <row r="18" spans="1:16" ht="15.75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2"/>
      <c r="L18" s="72"/>
      <c r="M18" s="72"/>
      <c r="N18" s="72"/>
      <c r="O18" s="72"/>
      <c r="P18" s="72"/>
    </row>
    <row r="19" spans="1:16" ht="15.75">
      <c r="A19" s="188" t="s">
        <v>28</v>
      </c>
      <c r="B19" s="188"/>
      <c r="C19" s="188"/>
      <c r="D19" s="188"/>
      <c r="E19" s="188"/>
      <c r="F19" s="188"/>
      <c r="G19" s="188"/>
      <c r="H19" s="188"/>
      <c r="I19" s="74"/>
      <c r="J19" s="74"/>
      <c r="K19" s="74"/>
      <c r="L19" s="74"/>
      <c r="M19" s="74"/>
      <c r="N19" s="74"/>
      <c r="O19" s="74"/>
      <c r="P19" s="74"/>
    </row>
    <row r="20" spans="1:16" ht="15.75">
      <c r="A20" s="75"/>
      <c r="B20" s="224"/>
      <c r="C20" s="224"/>
      <c r="D20" s="224"/>
      <c r="E20" s="224"/>
      <c r="F20" s="224"/>
      <c r="G20" s="75"/>
      <c r="H20" s="76" t="s">
        <v>218</v>
      </c>
      <c r="I20" s="76"/>
      <c r="K20" s="72"/>
      <c r="M20" s="72"/>
      <c r="N20" s="72"/>
      <c r="O20" s="77"/>
    </row>
    <row r="21" spans="1:16" s="67" customFormat="1" ht="15" customHeight="1">
      <c r="A21" s="225" t="s">
        <v>219</v>
      </c>
      <c r="B21" s="235"/>
      <c r="C21" s="238" t="s">
        <v>253</v>
      </c>
      <c r="D21" s="238" t="s">
        <v>220</v>
      </c>
      <c r="E21" s="243" t="s">
        <v>10</v>
      </c>
      <c r="F21" s="225" t="s">
        <v>252</v>
      </c>
      <c r="G21" s="209" t="s">
        <v>221</v>
      </c>
      <c r="H21" s="195" t="s">
        <v>222</v>
      </c>
      <c r="I21" s="78"/>
    </row>
    <row r="22" spans="1:16" s="67" customFormat="1" ht="15" customHeight="1">
      <c r="A22" s="226"/>
      <c r="B22" s="236"/>
      <c r="C22" s="239"/>
      <c r="D22" s="239"/>
      <c r="E22" s="244"/>
      <c r="F22" s="226"/>
      <c r="G22" s="210"/>
      <c r="H22" s="195"/>
      <c r="I22" s="78"/>
    </row>
    <row r="23" spans="1:16" s="67" customFormat="1" ht="75" customHeight="1">
      <c r="A23" s="227"/>
      <c r="B23" s="237"/>
      <c r="C23" s="240"/>
      <c r="D23" s="240"/>
      <c r="E23" s="245"/>
      <c r="F23" s="227"/>
      <c r="G23" s="211"/>
      <c r="H23" s="195"/>
      <c r="I23" s="78"/>
    </row>
    <row r="24" spans="1:16" s="81" customFormat="1" ht="14.25">
      <c r="A24" s="246">
        <v>-448761</v>
      </c>
      <c r="B24" s="247"/>
      <c r="C24" s="141">
        <v>52269.3</v>
      </c>
      <c r="D24" s="142">
        <v>46298.659999999996</v>
      </c>
      <c r="E24" s="142">
        <v>7126.2</v>
      </c>
      <c r="F24" s="141">
        <f>C24-D24</f>
        <v>5970.6400000000067</v>
      </c>
      <c r="G24" s="143">
        <v>24754</v>
      </c>
      <c r="H24" s="144">
        <f>A24+D24+E24-G24</f>
        <v>-420090.14</v>
      </c>
      <c r="I24" s="79"/>
      <c r="J24" s="80"/>
    </row>
    <row r="25" spans="1:16" ht="15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2"/>
      <c r="L25" s="72"/>
      <c r="M25" s="72"/>
      <c r="N25" s="72"/>
      <c r="O25" s="72"/>
      <c r="P25" s="72"/>
    </row>
    <row r="26" spans="1:16" ht="14.25">
      <c r="A26" s="65" t="s">
        <v>81</v>
      </c>
      <c r="B26" s="65"/>
      <c r="C26" s="65"/>
      <c r="D26" s="65"/>
      <c r="E26" s="65"/>
      <c r="F26" s="65"/>
      <c r="G26" s="84"/>
      <c r="H26" s="84"/>
      <c r="I26" s="65"/>
      <c r="J26" s="65"/>
      <c r="K26" s="67"/>
      <c r="L26" s="67"/>
      <c r="M26" s="67"/>
      <c r="N26" s="67"/>
      <c r="O26" s="67"/>
      <c r="P26" s="67"/>
    </row>
    <row r="27" spans="1:16" ht="14.25">
      <c r="A27" s="65" t="s">
        <v>255</v>
      </c>
      <c r="B27" s="65"/>
      <c r="C27" s="65"/>
      <c r="D27" s="65"/>
      <c r="E27" s="65"/>
      <c r="F27" s="65"/>
      <c r="G27" s="84"/>
      <c r="H27" s="84"/>
      <c r="I27" s="65"/>
      <c r="J27" s="67"/>
      <c r="K27" s="67"/>
      <c r="L27" s="67"/>
      <c r="M27" s="67"/>
      <c r="N27" s="67"/>
      <c r="O27" s="67"/>
    </row>
    <row r="28" spans="1:16" ht="15" customHeight="1">
      <c r="A28" s="185" t="s">
        <v>248</v>
      </c>
      <c r="B28" s="185"/>
      <c r="C28" s="185"/>
      <c r="D28" s="185"/>
      <c r="E28" s="185"/>
      <c r="F28" s="185"/>
      <c r="G28" s="185"/>
      <c r="H28" s="66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65" t="s">
        <v>249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</row>
    <row r="30" spans="1:16" ht="15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</row>
    <row r="31" spans="1:16" s="145" customFormat="1" ht="15.75">
      <c r="A31" s="184" t="s">
        <v>223</v>
      </c>
      <c r="B31" s="184"/>
      <c r="C31" s="184"/>
      <c r="D31" s="184"/>
      <c r="E31" s="184"/>
      <c r="F31" s="184"/>
      <c r="G31" s="184"/>
      <c r="H31" s="184"/>
      <c r="I31" s="86"/>
      <c r="J31" s="86"/>
    </row>
    <row r="32" spans="1:16" s="145" customFormat="1">
      <c r="A32" s="87"/>
      <c r="B32" s="146"/>
      <c r="C32" s="248"/>
      <c r="D32" s="248"/>
      <c r="E32" s="249"/>
      <c r="F32" s="249"/>
      <c r="G32" s="146"/>
      <c r="H32" s="88" t="s">
        <v>224</v>
      </c>
      <c r="I32" s="88"/>
    </row>
    <row r="33" spans="1:23" s="145" customFormat="1" ht="15.75">
      <c r="A33" s="190" t="s">
        <v>112</v>
      </c>
      <c r="B33" s="191"/>
      <c r="C33" s="218" t="s">
        <v>47</v>
      </c>
      <c r="D33" s="219"/>
      <c r="E33" s="219"/>
      <c r="F33" s="219"/>
      <c r="G33" s="220"/>
      <c r="H33" s="89" t="s">
        <v>225</v>
      </c>
      <c r="L33" s="90"/>
      <c r="M33" s="90"/>
      <c r="N33" s="90"/>
      <c r="O33" s="90"/>
      <c r="P33" s="90"/>
      <c r="Q33" s="90"/>
      <c r="R33" s="90"/>
    </row>
    <row r="34" spans="1:23" s="145" customFormat="1" ht="15" customHeight="1">
      <c r="A34" s="203" t="s">
        <v>55</v>
      </c>
      <c r="B34" s="204"/>
      <c r="C34" s="114" t="s">
        <v>254</v>
      </c>
      <c r="D34" s="91"/>
      <c r="E34" s="91"/>
      <c r="F34" s="91"/>
      <c r="G34" s="91"/>
      <c r="H34" s="152">
        <f>9796</f>
        <v>9796</v>
      </c>
      <c r="L34" s="90"/>
      <c r="M34" s="90"/>
      <c r="N34" s="90"/>
      <c r="O34" s="90"/>
      <c r="P34" s="90"/>
      <c r="Q34" s="90"/>
      <c r="R34" s="90"/>
    </row>
    <row r="35" spans="1:23" s="145" customFormat="1" ht="15" customHeight="1">
      <c r="A35" s="205"/>
      <c r="B35" s="206"/>
      <c r="C35" s="114" t="s">
        <v>6</v>
      </c>
      <c r="D35" s="91"/>
      <c r="E35" s="91"/>
      <c r="F35" s="91"/>
      <c r="G35" s="91"/>
      <c r="H35" s="152">
        <f>14958</f>
        <v>14958</v>
      </c>
      <c r="L35" s="90"/>
      <c r="M35" s="90"/>
      <c r="N35" s="90"/>
      <c r="O35" s="90"/>
      <c r="P35" s="90"/>
      <c r="Q35" s="90"/>
      <c r="R35" s="90"/>
    </row>
    <row r="36" spans="1:23" s="145" customFormat="1" ht="15">
      <c r="A36" s="205"/>
      <c r="B36" s="206"/>
      <c r="C36" s="114"/>
      <c r="D36" s="91"/>
      <c r="E36" s="91"/>
      <c r="F36" s="91"/>
      <c r="G36" s="91"/>
      <c r="H36" s="151">
        <f>SUM(H34:H35)</f>
        <v>24754</v>
      </c>
    </row>
    <row r="37" spans="1:23" s="145" customFormat="1" ht="15.75">
      <c r="A37" s="205"/>
      <c r="B37" s="206"/>
      <c r="C37" s="216" t="s">
        <v>48</v>
      </c>
      <c r="D37" s="252"/>
      <c r="E37" s="252"/>
      <c r="F37" s="252"/>
      <c r="G37" s="217"/>
      <c r="H37" s="15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</row>
    <row r="38" spans="1:23" s="145" customFormat="1" ht="15.75" customHeight="1">
      <c r="A38" s="205"/>
      <c r="B38" s="206"/>
      <c r="C38" s="253" t="s">
        <v>87</v>
      </c>
      <c r="D38" s="254"/>
      <c r="E38" s="254"/>
      <c r="F38" s="254"/>
      <c r="G38" s="255"/>
      <c r="H38" s="152">
        <f>4500</f>
        <v>4500</v>
      </c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</row>
    <row r="39" spans="1:23" s="145" customFormat="1" ht="15.75" customHeight="1">
      <c r="A39" s="207"/>
      <c r="B39" s="208"/>
      <c r="C39" s="114" t="s">
        <v>254</v>
      </c>
      <c r="D39" s="164"/>
      <c r="E39" s="164"/>
      <c r="F39" s="164"/>
      <c r="G39" s="164"/>
      <c r="H39" s="152">
        <f>5364</f>
        <v>5364</v>
      </c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</row>
    <row r="40" spans="1:23">
      <c r="A40" s="95"/>
      <c r="B40" s="95"/>
      <c r="C40" s="95"/>
      <c r="D40" s="95"/>
      <c r="E40" s="96"/>
      <c r="F40" s="96"/>
      <c r="G40" s="96"/>
      <c r="H40" s="96"/>
      <c r="I40" s="96"/>
      <c r="J40" s="96"/>
    </row>
    <row r="41" spans="1:23" ht="42.75" customHeight="1">
      <c r="A41" s="185" t="s">
        <v>82</v>
      </c>
      <c r="B41" s="185"/>
      <c r="C41" s="185"/>
      <c r="D41" s="185"/>
      <c r="E41" s="185"/>
      <c r="F41" s="185"/>
      <c r="G41" s="185"/>
      <c r="H41" s="185"/>
      <c r="I41" s="66"/>
      <c r="J41" s="66"/>
    </row>
    <row r="42" spans="1:23">
      <c r="A42" s="95"/>
      <c r="B42" s="95"/>
      <c r="C42" s="95"/>
      <c r="D42" s="95"/>
      <c r="E42" s="96"/>
      <c r="F42" s="96"/>
      <c r="G42" s="96"/>
      <c r="H42" s="96"/>
      <c r="I42" s="96"/>
      <c r="J42" s="96"/>
    </row>
    <row r="43" spans="1:23" ht="33" customHeight="1">
      <c r="A43" s="186" t="s">
        <v>54</v>
      </c>
      <c r="B43" s="186"/>
      <c r="C43" s="186"/>
      <c r="D43" s="186"/>
      <c r="E43" s="186"/>
      <c r="F43" s="186"/>
      <c r="G43" s="186"/>
      <c r="H43" s="186"/>
      <c r="I43" s="97"/>
      <c r="J43" s="97"/>
      <c r="K43" s="74"/>
      <c r="L43" s="74"/>
      <c r="M43" s="74"/>
      <c r="N43" s="74"/>
      <c r="O43" s="74"/>
      <c r="P43" s="74"/>
    </row>
    <row r="44" spans="1:23" ht="15">
      <c r="A44" s="98"/>
      <c r="B44" s="98"/>
      <c r="C44" s="98"/>
      <c r="D44" s="98"/>
      <c r="E44" s="98"/>
      <c r="F44" s="98"/>
      <c r="G44" s="98"/>
      <c r="H44" s="99" t="s">
        <v>227</v>
      </c>
      <c r="J44" s="98"/>
      <c r="M44" s="98"/>
      <c r="N44" s="98"/>
      <c r="O44" s="98"/>
      <c r="P44" s="98"/>
    </row>
    <row r="45" spans="1:23" ht="15.75">
      <c r="A45" s="218" t="s">
        <v>112</v>
      </c>
      <c r="B45" s="220"/>
      <c r="C45" s="218" t="s">
        <v>47</v>
      </c>
      <c r="D45" s="219"/>
      <c r="E45" s="219"/>
      <c r="F45" s="219"/>
      <c r="G45" s="220"/>
      <c r="H45" s="89" t="s">
        <v>225</v>
      </c>
      <c r="I45" s="98"/>
      <c r="J45" s="98"/>
      <c r="K45" s="98"/>
      <c r="L45" s="98"/>
    </row>
    <row r="46" spans="1:23" ht="15" customHeight="1">
      <c r="A46" s="205" t="s">
        <v>55</v>
      </c>
      <c r="B46" s="206"/>
      <c r="C46" s="114" t="s">
        <v>134</v>
      </c>
      <c r="D46" s="100"/>
      <c r="E46" s="100"/>
      <c r="F46" s="100"/>
      <c r="G46" s="101"/>
      <c r="H46" s="102">
        <f>H67</f>
        <v>5524.5791788018741</v>
      </c>
      <c r="I46" s="98"/>
      <c r="J46" s="98"/>
      <c r="K46" s="98"/>
      <c r="L46" s="98"/>
    </row>
    <row r="47" spans="1:23" ht="15" customHeight="1">
      <c r="A47" s="205"/>
      <c r="B47" s="206"/>
      <c r="C47" s="67" t="s">
        <v>35</v>
      </c>
      <c r="D47" s="100"/>
      <c r="E47" s="100"/>
      <c r="F47" s="100"/>
      <c r="G47" s="101"/>
      <c r="H47" s="102">
        <f>895+895</f>
        <v>1790</v>
      </c>
      <c r="I47" s="98"/>
      <c r="J47" s="98"/>
      <c r="K47" s="98"/>
      <c r="L47" s="98"/>
    </row>
    <row r="48" spans="1:23" ht="15">
      <c r="A48" s="205"/>
      <c r="B48" s="206"/>
      <c r="C48" s="197" t="s">
        <v>42</v>
      </c>
      <c r="D48" s="198"/>
      <c r="E48" s="198"/>
      <c r="F48" s="198"/>
      <c r="G48" s="199"/>
      <c r="H48" s="152">
        <f>4924</f>
        <v>4924</v>
      </c>
      <c r="I48" s="98"/>
      <c r="J48" s="98"/>
      <c r="K48" s="98"/>
      <c r="L48" s="98"/>
    </row>
    <row r="49" spans="1:17" ht="15.75">
      <c r="A49" s="205"/>
      <c r="B49" s="206"/>
      <c r="C49" s="216" t="s">
        <v>48</v>
      </c>
      <c r="D49" s="252"/>
      <c r="E49" s="252"/>
      <c r="F49" s="252"/>
      <c r="G49" s="217"/>
      <c r="H49" s="152"/>
      <c r="I49" s="98"/>
      <c r="J49" s="98"/>
      <c r="K49" s="98"/>
      <c r="L49" s="98"/>
    </row>
    <row r="50" spans="1:17" ht="14.25">
      <c r="A50" s="207"/>
      <c r="B50" s="208"/>
      <c r="C50" s="250" t="s">
        <v>228</v>
      </c>
      <c r="D50" s="221"/>
      <c r="E50" s="221"/>
      <c r="F50" s="221"/>
      <c r="G50" s="222"/>
      <c r="H50" s="102">
        <v>5418</v>
      </c>
      <c r="I50" s="96"/>
      <c r="J50" s="96"/>
    </row>
    <row r="51" spans="1:17" ht="14.25">
      <c r="A51" s="95"/>
      <c r="B51" s="95"/>
      <c r="C51" s="104"/>
      <c r="D51" s="104"/>
      <c r="E51" s="104"/>
      <c r="F51" s="104"/>
      <c r="G51" s="104"/>
      <c r="H51" s="166"/>
      <c r="I51" s="96"/>
      <c r="J51" s="96"/>
    </row>
    <row r="52" spans="1:17">
      <c r="A52" s="90" t="s">
        <v>201</v>
      </c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</row>
    <row r="53" spans="1:17" ht="18" customHeight="1">
      <c r="A53" s="187" t="s">
        <v>111</v>
      </c>
      <c r="B53" s="187"/>
      <c r="C53" s="187"/>
      <c r="D53" s="187"/>
      <c r="E53" s="187"/>
      <c r="F53" s="187"/>
      <c r="G53" s="187"/>
      <c r="H53" s="187"/>
      <c r="I53" s="106"/>
      <c r="J53" s="106"/>
    </row>
    <row r="54" spans="1:17" ht="12" customHeight="1">
      <c r="A54" s="106"/>
      <c r="B54" s="106"/>
      <c r="C54" s="106"/>
      <c r="D54" s="106"/>
      <c r="E54" s="106"/>
      <c r="F54" s="106"/>
      <c r="G54" s="106"/>
      <c r="H54" s="106"/>
      <c r="I54" s="106"/>
      <c r="J54" s="106"/>
    </row>
    <row r="55" spans="1:17" ht="15.75">
      <c r="A55" s="188" t="s">
        <v>109</v>
      </c>
      <c r="B55" s="188"/>
      <c r="C55" s="188"/>
      <c r="D55" s="188"/>
      <c r="E55" s="188"/>
      <c r="F55" s="188"/>
      <c r="G55" s="188"/>
      <c r="H55" s="188"/>
      <c r="I55" s="74"/>
      <c r="J55" s="74"/>
    </row>
    <row r="56" spans="1:17" ht="15.75">
      <c r="A56" s="107"/>
      <c r="B56" s="107"/>
      <c r="C56" s="107"/>
      <c r="D56" s="107"/>
      <c r="E56" s="107"/>
      <c r="F56" s="107"/>
      <c r="G56" s="107"/>
      <c r="H56" s="99" t="s">
        <v>229</v>
      </c>
      <c r="J56" s="107"/>
    </row>
    <row r="57" spans="1:17" ht="15.75">
      <c r="A57" s="230" t="s">
        <v>110</v>
      </c>
      <c r="B57" s="230"/>
      <c r="C57" s="230"/>
      <c r="D57" s="230"/>
      <c r="E57" s="230"/>
      <c r="F57" s="230"/>
      <c r="G57" s="231"/>
      <c r="H57" s="108">
        <f>SUM(H65:H76)+H59+H64</f>
        <v>629375.74642722856</v>
      </c>
      <c r="I57" s="109"/>
      <c r="J57" s="109"/>
    </row>
    <row r="58" spans="1:17" ht="15">
      <c r="A58" s="110" t="s">
        <v>98</v>
      </c>
      <c r="B58" s="232" t="s">
        <v>99</v>
      </c>
      <c r="C58" s="233"/>
      <c r="D58" s="233"/>
      <c r="E58" s="233"/>
      <c r="F58" s="233"/>
      <c r="G58" s="234"/>
      <c r="H58" s="111" t="s">
        <v>100</v>
      </c>
      <c r="I58" s="112"/>
      <c r="K58" s="105"/>
    </row>
    <row r="59" spans="1:17" ht="15.75">
      <c r="A59" s="113" t="s">
        <v>101</v>
      </c>
      <c r="B59" s="114" t="s">
        <v>102</v>
      </c>
      <c r="C59" s="91"/>
      <c r="D59" s="91"/>
      <c r="E59" s="91"/>
      <c r="F59" s="91"/>
      <c r="G59" s="91"/>
      <c r="H59" s="94">
        <f>SUM(H60:H63)</f>
        <v>64461.780555792451</v>
      </c>
      <c r="I59" s="75"/>
    </row>
    <row r="60" spans="1:17" ht="15">
      <c r="A60" s="113"/>
      <c r="B60" s="114" t="s">
        <v>256</v>
      </c>
      <c r="C60" s="91"/>
      <c r="D60" s="91"/>
      <c r="E60" s="91"/>
      <c r="F60" s="91"/>
      <c r="G60" s="91"/>
      <c r="H60" s="102">
        <f>4894</f>
        <v>4894</v>
      </c>
      <c r="I60" s="75"/>
      <c r="K60" s="90"/>
      <c r="L60" s="90"/>
      <c r="M60" s="90"/>
      <c r="N60" s="90"/>
      <c r="O60" s="90"/>
      <c r="P60" s="90"/>
      <c r="Q60" s="90"/>
    </row>
    <row r="61" spans="1:17" ht="15">
      <c r="A61" s="113"/>
      <c r="B61" s="114" t="s">
        <v>43</v>
      </c>
      <c r="C61" s="91"/>
      <c r="D61" s="91"/>
      <c r="E61" s="91"/>
      <c r="F61" s="91"/>
      <c r="G61" s="91"/>
      <c r="H61" s="102">
        <f>13536</f>
        <v>13536</v>
      </c>
      <c r="I61" s="75"/>
      <c r="K61" s="90"/>
      <c r="L61" s="90"/>
      <c r="M61" s="90"/>
      <c r="N61" s="90"/>
      <c r="O61" s="90"/>
      <c r="P61" s="90"/>
      <c r="Q61" s="90"/>
    </row>
    <row r="62" spans="1:17" ht="15">
      <c r="A62" s="113"/>
      <c r="B62" s="114" t="s">
        <v>13</v>
      </c>
      <c r="C62" s="91"/>
      <c r="D62" s="91"/>
      <c r="E62" s="91"/>
      <c r="F62" s="91"/>
      <c r="G62" s="91"/>
      <c r="H62" s="102">
        <f>2612</f>
        <v>2612</v>
      </c>
      <c r="I62" s="75"/>
      <c r="K62" s="90"/>
      <c r="L62" s="90"/>
      <c r="M62" s="90"/>
      <c r="N62" s="90"/>
      <c r="O62" s="90"/>
      <c r="P62" s="90"/>
      <c r="Q62" s="90"/>
    </row>
    <row r="63" spans="1:17" ht="50.25" customHeight="1">
      <c r="A63" s="113"/>
      <c r="B63" s="213" t="s">
        <v>17</v>
      </c>
      <c r="C63" s="214"/>
      <c r="D63" s="214"/>
      <c r="E63" s="214"/>
      <c r="F63" s="214"/>
      <c r="G63" s="214"/>
      <c r="H63" s="102">
        <f>Основное!$D$6*Основное!I32</f>
        <v>43419.780555792451</v>
      </c>
      <c r="I63" s="75"/>
      <c r="K63" s="90"/>
      <c r="L63" s="90"/>
      <c r="M63" s="90"/>
      <c r="N63" s="90"/>
      <c r="O63" s="90"/>
      <c r="P63" s="90"/>
      <c r="Q63" s="90"/>
    </row>
    <row r="64" spans="1:17" ht="15">
      <c r="A64" s="113" t="s">
        <v>103</v>
      </c>
      <c r="B64" s="114" t="s">
        <v>140</v>
      </c>
      <c r="C64" s="91"/>
      <c r="D64" s="91"/>
      <c r="E64" s="91"/>
      <c r="F64" s="91"/>
      <c r="G64" s="91"/>
      <c r="H64" s="102">
        <f>Основное!$D$6*Основное!I33</f>
        <v>2735.2865646079113</v>
      </c>
      <c r="I64" s="75"/>
      <c r="K64" s="90"/>
      <c r="L64" s="90"/>
      <c r="M64" s="90"/>
      <c r="N64" s="90"/>
      <c r="O64" s="90"/>
      <c r="P64" s="90"/>
      <c r="Q64" s="90"/>
    </row>
    <row r="65" spans="1:22" ht="15">
      <c r="A65" s="113" t="s">
        <v>276</v>
      </c>
      <c r="B65" s="61" t="s">
        <v>275</v>
      </c>
      <c r="C65" s="91"/>
      <c r="D65" s="91"/>
      <c r="E65" s="91"/>
      <c r="F65" s="91"/>
      <c r="G65" s="91"/>
      <c r="H65" s="102">
        <f>Основное!$D$6*Основное!I34</f>
        <v>5844.6408061269913</v>
      </c>
      <c r="I65" s="75"/>
      <c r="K65" s="90"/>
      <c r="L65" s="90"/>
      <c r="M65" s="90"/>
      <c r="N65" s="90"/>
      <c r="O65" s="90"/>
      <c r="P65" s="90"/>
      <c r="Q65" s="90"/>
    </row>
    <row r="66" spans="1:22" ht="14.25">
      <c r="A66" s="113" t="s">
        <v>277</v>
      </c>
      <c r="B66" s="114" t="s">
        <v>104</v>
      </c>
      <c r="C66" s="91"/>
      <c r="D66" s="91"/>
      <c r="E66" s="91"/>
      <c r="F66" s="91"/>
      <c r="G66" s="91"/>
      <c r="H66" s="102">
        <f>Основное!$D$6*Основное!I35</f>
        <v>30963.488963140269</v>
      </c>
      <c r="I66" s="117"/>
      <c r="J66" s="117"/>
      <c r="K66" s="212"/>
      <c r="L66" s="212"/>
      <c r="M66" s="212"/>
      <c r="N66" s="212"/>
      <c r="O66" s="212"/>
      <c r="P66" s="212"/>
      <c r="Q66" s="212"/>
      <c r="R66" s="212"/>
      <c r="S66" s="212"/>
      <c r="T66" s="212"/>
      <c r="U66" s="212"/>
      <c r="V66" s="212"/>
    </row>
    <row r="67" spans="1:22" ht="14.25">
      <c r="A67" s="113" t="s">
        <v>273</v>
      </c>
      <c r="B67" s="114" t="s">
        <v>274</v>
      </c>
      <c r="C67" s="91"/>
      <c r="D67" s="91"/>
      <c r="E67" s="91"/>
      <c r="F67" s="91"/>
      <c r="G67" s="91"/>
      <c r="H67" s="102">
        <f>Основное!$D$6*Основное!I36</f>
        <v>5524.5791788018741</v>
      </c>
      <c r="I67" s="117"/>
      <c r="J67" s="117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</row>
    <row r="68" spans="1:22" ht="15">
      <c r="A68" s="113" t="s">
        <v>278</v>
      </c>
      <c r="B68" s="114" t="s">
        <v>271</v>
      </c>
      <c r="C68" s="91"/>
      <c r="D68" s="91"/>
      <c r="E68" s="91"/>
      <c r="F68" s="91"/>
      <c r="G68" s="91"/>
      <c r="H68" s="102">
        <f>Основное!$D$6*Основное!I37</f>
        <v>50988.729692471286</v>
      </c>
      <c r="I68" s="75"/>
    </row>
    <row r="69" spans="1:22" ht="15">
      <c r="A69" s="113" t="s">
        <v>279</v>
      </c>
      <c r="B69" s="114" t="s">
        <v>272</v>
      </c>
      <c r="C69" s="91"/>
      <c r="D69" s="91"/>
      <c r="E69" s="91"/>
      <c r="F69" s="91"/>
      <c r="G69" s="91"/>
      <c r="H69" s="102">
        <f>Основное!$D$6*Основное!I38</f>
        <v>3683.9483048978077</v>
      </c>
      <c r="I69" s="75"/>
    </row>
    <row r="70" spans="1:22" ht="15">
      <c r="A70" s="113" t="s">
        <v>280</v>
      </c>
      <c r="B70" s="114" t="s">
        <v>105</v>
      </c>
      <c r="C70" s="91"/>
      <c r="D70" s="91"/>
      <c r="E70" s="91"/>
      <c r="F70" s="91"/>
      <c r="G70" s="91"/>
      <c r="H70" s="102">
        <f>Основное!$D$6*Основное!I39</f>
        <v>49497.10207630603</v>
      </c>
      <c r="I70" s="75"/>
    </row>
    <row r="71" spans="1:22" ht="15">
      <c r="A71" s="113" t="s">
        <v>281</v>
      </c>
      <c r="B71" s="114" t="s">
        <v>133</v>
      </c>
      <c r="C71" s="91"/>
      <c r="D71" s="91"/>
      <c r="E71" s="91"/>
      <c r="F71" s="91"/>
      <c r="G71" s="91"/>
      <c r="H71" s="102">
        <f>Основное!$D$6*Основное!I42</f>
        <v>7358.3010406421599</v>
      </c>
      <c r="I71" s="75"/>
    </row>
    <row r="72" spans="1:22" ht="15">
      <c r="A72" s="113" t="s">
        <v>282</v>
      </c>
      <c r="B72" s="114" t="s">
        <v>139</v>
      </c>
      <c r="C72" s="91"/>
      <c r="D72" s="91"/>
      <c r="E72" s="91"/>
      <c r="F72" s="91"/>
      <c r="G72" s="91"/>
      <c r="H72" s="102">
        <f>Основное!$D$6*Основное!I43</f>
        <v>2711.0165278193554</v>
      </c>
      <c r="I72" s="75"/>
    </row>
    <row r="73" spans="1:22" ht="15">
      <c r="A73" s="113" t="s">
        <v>283</v>
      </c>
      <c r="B73" s="114" t="s">
        <v>106</v>
      </c>
      <c r="C73" s="91"/>
      <c r="D73" s="91"/>
      <c r="E73" s="91"/>
      <c r="F73" s="91"/>
      <c r="G73" s="91"/>
      <c r="H73" s="102">
        <f>Основное!$D$6*Основное!I44</f>
        <v>320370.69172131683</v>
      </c>
      <c r="I73" s="75"/>
    </row>
    <row r="74" spans="1:22" ht="15">
      <c r="A74" s="113" t="s">
        <v>284</v>
      </c>
      <c r="B74" s="114" t="s">
        <v>132</v>
      </c>
      <c r="C74" s="91"/>
      <c r="D74" s="91"/>
      <c r="E74" s="91"/>
      <c r="F74" s="91"/>
      <c r="G74" s="91"/>
      <c r="H74" s="102">
        <f>Основное!$D$6*Основное!I45</f>
        <v>64714.879727705986</v>
      </c>
      <c r="I74" s="75"/>
    </row>
    <row r="75" spans="1:22" ht="15">
      <c r="A75" s="113" t="s">
        <v>285</v>
      </c>
      <c r="B75" s="114" t="s">
        <v>128</v>
      </c>
      <c r="C75" s="91"/>
      <c r="D75" s="91"/>
      <c r="E75" s="91"/>
      <c r="F75" s="91"/>
      <c r="G75" s="91"/>
      <c r="H75" s="102">
        <f>Основное!$D$6*Основное!I46</f>
        <v>9627.2387150414743</v>
      </c>
      <c r="I75" s="75"/>
    </row>
    <row r="76" spans="1:22" ht="15">
      <c r="A76" s="113" t="s">
        <v>286</v>
      </c>
      <c r="B76" s="114" t="s">
        <v>50</v>
      </c>
      <c r="C76" s="91"/>
      <c r="D76" s="91"/>
      <c r="E76" s="91"/>
      <c r="F76" s="91"/>
      <c r="G76" s="91"/>
      <c r="H76" s="102">
        <f>Основное!$D$6*Основное!I47</f>
        <v>10894.062552558176</v>
      </c>
      <c r="I76" s="75"/>
    </row>
    <row r="77" spans="1:22">
      <c r="A77" s="119"/>
      <c r="B77" s="119"/>
      <c r="C77" s="119"/>
      <c r="D77" s="119"/>
      <c r="E77" s="119"/>
      <c r="F77" s="119"/>
      <c r="G77" s="119"/>
      <c r="H77" s="120"/>
      <c r="I77" s="117"/>
      <c r="J77" s="117"/>
    </row>
    <row r="78" spans="1:22" s="145" customFormat="1" ht="26.25" customHeight="1">
      <c r="A78" s="189" t="s">
        <v>11</v>
      </c>
      <c r="B78" s="189"/>
      <c r="C78" s="189"/>
      <c r="D78" s="189"/>
      <c r="E78" s="189"/>
      <c r="F78" s="189"/>
      <c r="G78" s="189"/>
      <c r="H78" s="189"/>
      <c r="I78" s="121"/>
      <c r="J78" s="121"/>
      <c r="K78" s="82"/>
    </row>
    <row r="79" spans="1:22" s="145" customFormat="1">
      <c r="A79" s="122"/>
      <c r="B79" s="215"/>
      <c r="C79" s="215"/>
      <c r="D79" s="215"/>
      <c r="E79" s="215"/>
      <c r="F79" s="215"/>
      <c r="G79" s="215"/>
      <c r="H79" s="215"/>
      <c r="I79" s="123"/>
      <c r="J79" s="123"/>
    </row>
    <row r="80" spans="1:22" s="145" customFormat="1" ht="15.75">
      <c r="A80" s="184" t="s">
        <v>259</v>
      </c>
      <c r="B80" s="184"/>
      <c r="C80" s="184"/>
      <c r="D80" s="122"/>
      <c r="E80" s="122"/>
      <c r="F80" s="122"/>
      <c r="G80" s="122"/>
      <c r="I80" s="122"/>
    </row>
    <row r="81" spans="1:15" s="145" customFormat="1" ht="15.75">
      <c r="A81" s="112"/>
      <c r="B81" s="112"/>
      <c r="C81" s="124" t="s">
        <v>230</v>
      </c>
      <c r="D81" s="112"/>
      <c r="E81" s="86"/>
      <c r="F81" s="82"/>
      <c r="H81" s="123"/>
      <c r="I81" s="123"/>
    </row>
    <row r="82" spans="1:15" s="145" customFormat="1" ht="28.5" customHeight="1">
      <c r="A82" s="125" t="s">
        <v>262</v>
      </c>
      <c r="B82" s="126" t="s">
        <v>232</v>
      </c>
      <c r="C82" s="178" t="s">
        <v>290</v>
      </c>
      <c r="F82" s="123"/>
    </row>
    <row r="83" spans="1:15" s="83" customFormat="1" ht="19.5" customHeight="1">
      <c r="A83" s="144">
        <v>1126.2</v>
      </c>
      <c r="B83" s="144">
        <v>6000</v>
      </c>
      <c r="C83" s="179">
        <f>SUM(A83:B83)</f>
        <v>7126.2</v>
      </c>
      <c r="D83" s="128"/>
      <c r="E83" s="128"/>
      <c r="F83" s="128"/>
    </row>
    <row r="84" spans="1:15" s="145" customFormat="1" ht="15.75">
      <c r="A84" s="129"/>
      <c r="B84" s="129"/>
      <c r="C84" s="168"/>
      <c r="D84" s="168"/>
      <c r="E84" s="130"/>
      <c r="F84" s="130"/>
      <c r="G84" s="82"/>
      <c r="H84" s="123"/>
      <c r="I84" s="123"/>
      <c r="J84" s="123"/>
    </row>
    <row r="85" spans="1:15" s="145" customFormat="1" ht="93" customHeight="1">
      <c r="A85" s="228" t="s">
        <v>51</v>
      </c>
      <c r="B85" s="228"/>
      <c r="C85" s="228"/>
      <c r="D85" s="228"/>
      <c r="E85" s="228"/>
      <c r="F85" s="228"/>
      <c r="G85" s="228"/>
      <c r="H85" s="228"/>
      <c r="I85" s="131"/>
      <c r="J85" s="131"/>
      <c r="K85" s="131"/>
      <c r="L85" s="131"/>
    </row>
    <row r="86" spans="1:15" ht="60.75" customHeight="1">
      <c r="A86" s="229" t="s">
        <v>52</v>
      </c>
      <c r="B86" s="229"/>
      <c r="C86" s="229"/>
      <c r="D86" s="229"/>
      <c r="E86" s="229"/>
      <c r="F86" s="229"/>
      <c r="G86" s="229"/>
      <c r="H86" s="229"/>
      <c r="I86" s="132"/>
      <c r="J86" s="132"/>
      <c r="K86" s="132"/>
      <c r="L86" s="132"/>
      <c r="M86" s="132"/>
      <c r="N86" s="132"/>
      <c r="O86" s="132"/>
    </row>
    <row r="87" spans="1:15">
      <c r="A87" s="133"/>
      <c r="B87" s="133"/>
      <c r="C87" s="133"/>
      <c r="D87" s="133"/>
      <c r="E87" s="133"/>
      <c r="F87" s="133"/>
      <c r="G87" s="133"/>
      <c r="H87" s="133"/>
      <c r="I87" s="133"/>
      <c r="J87" s="133"/>
      <c r="K87" s="133"/>
      <c r="L87" s="133"/>
    </row>
    <row r="88" spans="1:15" ht="15">
      <c r="A88" s="242" t="s">
        <v>176</v>
      </c>
      <c r="B88" s="242"/>
      <c r="C88" s="242"/>
      <c r="D88" s="242"/>
      <c r="E88" s="242"/>
      <c r="F88" s="242"/>
      <c r="G88" s="242"/>
      <c r="H88" s="242"/>
      <c r="I88" s="134"/>
      <c r="J88" s="135"/>
      <c r="K88" s="135"/>
      <c r="L88" s="135"/>
      <c r="M88" s="135"/>
      <c r="N88" s="135"/>
      <c r="O88" s="135"/>
    </row>
    <row r="89" spans="1:15" ht="15">
      <c r="A89" s="242" t="s">
        <v>238</v>
      </c>
      <c r="B89" s="242"/>
      <c r="C89" s="242"/>
      <c r="D89" s="242"/>
      <c r="E89" s="242"/>
      <c r="F89" s="242"/>
      <c r="G89" s="242"/>
      <c r="H89" s="242"/>
      <c r="I89" s="134"/>
      <c r="J89" s="135"/>
      <c r="K89" s="135"/>
      <c r="L89" s="135"/>
      <c r="M89" s="135"/>
      <c r="N89" s="135"/>
      <c r="O89" s="135"/>
    </row>
    <row r="90" spans="1:15" ht="14.25">
      <c r="A90" s="193" t="s">
        <v>233</v>
      </c>
      <c r="B90" s="193"/>
      <c r="C90" s="193"/>
      <c r="D90" s="193"/>
      <c r="E90" s="193"/>
      <c r="F90" s="193"/>
      <c r="G90" s="193"/>
      <c r="H90" s="193"/>
      <c r="I90" s="149"/>
      <c r="J90" s="149"/>
      <c r="K90" s="149"/>
      <c r="L90" s="149"/>
      <c r="M90" s="149"/>
      <c r="N90" s="149"/>
      <c r="O90" s="149"/>
    </row>
    <row r="91" spans="1:15" ht="15">
      <c r="A91" s="182" t="s">
        <v>239</v>
      </c>
      <c r="B91" s="182"/>
      <c r="C91" s="182"/>
      <c r="D91" s="182"/>
      <c r="E91" s="182"/>
      <c r="F91" s="182"/>
      <c r="G91" s="182"/>
      <c r="H91" s="182"/>
      <c r="I91" s="136"/>
      <c r="J91" s="137"/>
      <c r="K91" s="137"/>
      <c r="L91" s="137"/>
      <c r="M91" s="137"/>
      <c r="N91" s="137"/>
      <c r="O91" s="137"/>
    </row>
    <row r="92" spans="1:15" ht="15">
      <c r="A92" s="183" t="s">
        <v>234</v>
      </c>
      <c r="B92" s="183"/>
      <c r="C92" s="183"/>
      <c r="D92" s="183"/>
      <c r="E92" s="183"/>
      <c r="F92" s="183"/>
      <c r="G92" s="183"/>
      <c r="H92" s="183"/>
      <c r="I92" s="138"/>
      <c r="J92" s="139"/>
      <c r="K92" s="139"/>
      <c r="L92" s="139"/>
      <c r="M92" s="139"/>
      <c r="N92" s="139"/>
      <c r="O92" s="139"/>
    </row>
  </sheetData>
  <mergeCells count="49">
    <mergeCell ref="L37:W37"/>
    <mergeCell ref="A57:G57"/>
    <mergeCell ref="B58:G58"/>
    <mergeCell ref="C45:G45"/>
    <mergeCell ref="A89:H89"/>
    <mergeCell ref="K66:V66"/>
    <mergeCell ref="C50:G50"/>
    <mergeCell ref="C49:G49"/>
    <mergeCell ref="C48:G48"/>
    <mergeCell ref="A1:H1"/>
    <mergeCell ref="A2:H2"/>
    <mergeCell ref="A3:H3"/>
    <mergeCell ref="C37:G37"/>
    <mergeCell ref="A24:B24"/>
    <mergeCell ref="A80:C80"/>
    <mergeCell ref="A33:B33"/>
    <mergeCell ref="C33:G33"/>
    <mergeCell ref="A34:B39"/>
    <mergeCell ref="C38:G38"/>
    <mergeCell ref="A90:H90"/>
    <mergeCell ref="B63:G63"/>
    <mergeCell ref="A85:H85"/>
    <mergeCell ref="A86:H86"/>
    <mergeCell ref="A88:H88"/>
    <mergeCell ref="H21:H23"/>
    <mergeCell ref="A41:H41"/>
    <mergeCell ref="F21:F23"/>
    <mergeCell ref="G21:G23"/>
    <mergeCell ref="D21:D23"/>
    <mergeCell ref="E5:H8"/>
    <mergeCell ref="A17:H17"/>
    <mergeCell ref="A19:H19"/>
    <mergeCell ref="C32:D32"/>
    <mergeCell ref="E32:F32"/>
    <mergeCell ref="A31:H31"/>
    <mergeCell ref="A28:G28"/>
    <mergeCell ref="B20:F20"/>
    <mergeCell ref="A21:B23"/>
    <mergeCell ref="C21:C23"/>
    <mergeCell ref="E21:E23"/>
    <mergeCell ref="A43:H43"/>
    <mergeCell ref="A46:B50"/>
    <mergeCell ref="A45:B45"/>
    <mergeCell ref="A91:H91"/>
    <mergeCell ref="A92:H92"/>
    <mergeCell ref="A53:H53"/>
    <mergeCell ref="A55:H55"/>
    <mergeCell ref="A78:H78"/>
    <mergeCell ref="B79:H79"/>
  </mergeCells>
  <phoneticPr fontId="11" type="noConversion"/>
  <hyperlinks>
    <hyperlink ref="A90" r:id="rId1" display="blgorod@rambler.ru,"/>
  </hyperlinks>
  <pageMargins left="0.78740157480314965" right="0.78740157480314965" top="0.78740157480314965" bottom="0.82677165354330717" header="0.51181102362204722" footer="0.51181102362204722"/>
  <pageSetup paperSize="9" scale="74" orientation="portrait" verticalDpi="360" r:id="rId2"/>
  <headerFooter alignWithMargins="0"/>
  <rowBreaks count="1" manualBreakCount="1">
    <brk id="54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W105"/>
  <sheetViews>
    <sheetView tabSelected="1" view="pageBreakPreview" zoomScaleSheetLayoutView="100" workbookViewId="0">
      <selection sqref="A1:H1"/>
    </sheetView>
  </sheetViews>
  <sheetFormatPr defaultRowHeight="12.75"/>
  <cols>
    <col min="1" max="1" width="12.5703125" style="140" customWidth="1"/>
    <col min="2" max="2" width="11.85546875" style="140" customWidth="1"/>
    <col min="3" max="3" width="13.5703125" style="140" customWidth="1"/>
    <col min="4" max="4" width="13.28515625" style="140" customWidth="1"/>
    <col min="5" max="5" width="14.140625" style="140" customWidth="1"/>
    <col min="6" max="6" width="15.42578125" style="140" customWidth="1"/>
    <col min="7" max="7" width="14.7109375" style="140" customWidth="1"/>
    <col min="8" max="8" width="15.5703125" style="140" customWidth="1"/>
    <col min="9" max="9" width="12.85546875" style="140" customWidth="1"/>
    <col min="10" max="10" width="3.5703125" style="140" customWidth="1"/>
    <col min="11" max="12" width="9.140625" style="140"/>
    <col min="13" max="13" width="0.5703125" style="140" customWidth="1"/>
    <col min="14" max="15" width="9.140625" style="140"/>
    <col min="16" max="16" width="1.42578125" style="140" customWidth="1"/>
    <col min="17" max="16384" width="9.140625" style="140"/>
  </cols>
  <sheetData>
    <row r="1" spans="1:16" ht="18">
      <c r="A1" s="241" t="s">
        <v>235</v>
      </c>
      <c r="B1" s="241"/>
      <c r="C1" s="241"/>
      <c r="D1" s="241"/>
      <c r="E1" s="241"/>
      <c r="F1" s="241"/>
      <c r="G1" s="241"/>
      <c r="H1" s="241"/>
      <c r="I1" s="62"/>
      <c r="J1" s="62"/>
      <c r="K1" s="62"/>
      <c r="L1" s="62"/>
      <c r="M1" s="62"/>
      <c r="N1" s="62"/>
      <c r="O1" s="62"/>
      <c r="P1" s="62"/>
    </row>
    <row r="2" spans="1:16" ht="18">
      <c r="A2" s="241" t="s">
        <v>246</v>
      </c>
      <c r="B2" s="241"/>
      <c r="C2" s="241"/>
      <c r="D2" s="241"/>
      <c r="E2" s="241"/>
      <c r="F2" s="241"/>
      <c r="G2" s="241"/>
      <c r="H2" s="241"/>
      <c r="I2" s="62"/>
      <c r="J2" s="62"/>
      <c r="K2" s="62"/>
      <c r="L2" s="62"/>
      <c r="M2" s="62"/>
      <c r="N2" s="62"/>
      <c r="O2" s="62"/>
      <c r="P2" s="62"/>
    </row>
    <row r="3" spans="1:16" ht="18">
      <c r="A3" s="194" t="s">
        <v>58</v>
      </c>
      <c r="B3" s="194"/>
      <c r="C3" s="194"/>
      <c r="D3" s="194"/>
      <c r="E3" s="194"/>
      <c r="F3" s="194"/>
      <c r="G3" s="194"/>
      <c r="H3" s="194"/>
      <c r="I3" s="63"/>
      <c r="J3" s="63"/>
      <c r="K3" s="63"/>
      <c r="L3" s="63"/>
      <c r="M3" s="63"/>
      <c r="N3" s="63"/>
      <c r="O3" s="63"/>
      <c r="P3" s="63"/>
    </row>
    <row r="4" spans="1:16" ht="18">
      <c r="A4" s="63"/>
      <c r="B4" s="63"/>
      <c r="C4" s="63"/>
      <c r="D4" s="63"/>
      <c r="E4" s="63"/>
      <c r="F4" s="63"/>
      <c r="G4" s="63"/>
      <c r="H4" s="63"/>
      <c r="I4" s="63"/>
      <c r="J4" s="63"/>
      <c r="K4" s="64"/>
      <c r="L4" s="64"/>
      <c r="M4" s="64"/>
      <c r="N4" s="64"/>
      <c r="O4" s="64"/>
      <c r="P4" s="64"/>
    </row>
    <row r="5" spans="1:16" s="67" customFormat="1" ht="14.25" customHeight="1">
      <c r="A5" s="65" t="s">
        <v>202</v>
      </c>
      <c r="B5" s="65"/>
      <c r="C5" s="65"/>
      <c r="D5" s="65"/>
      <c r="E5" s="196" t="s">
        <v>59</v>
      </c>
      <c r="F5" s="196"/>
      <c r="G5" s="196"/>
      <c r="H5" s="196"/>
      <c r="I5" s="66"/>
      <c r="J5" s="66"/>
    </row>
    <row r="6" spans="1:16" s="67" customFormat="1" ht="14.25">
      <c r="A6" s="65" t="s">
        <v>96</v>
      </c>
      <c r="B6" s="65"/>
      <c r="C6" s="65"/>
      <c r="D6" s="65"/>
      <c r="E6" s="196"/>
      <c r="F6" s="196"/>
      <c r="G6" s="196"/>
      <c r="H6" s="196"/>
      <c r="I6" s="66"/>
      <c r="J6" s="66"/>
    </row>
    <row r="7" spans="1:16" s="67" customFormat="1" ht="30" customHeight="1">
      <c r="A7" s="65" t="s">
        <v>19</v>
      </c>
      <c r="B7" s="65"/>
      <c r="C7" s="65"/>
      <c r="D7" s="65"/>
      <c r="E7" s="196"/>
      <c r="F7" s="196"/>
      <c r="G7" s="196"/>
      <c r="H7" s="196"/>
      <c r="I7" s="66"/>
      <c r="J7" s="66"/>
    </row>
    <row r="8" spans="1:16" s="67" customFormat="1" ht="14.25">
      <c r="A8" s="65" t="s">
        <v>18</v>
      </c>
      <c r="B8" s="65"/>
      <c r="C8" s="65"/>
      <c r="D8" s="65"/>
      <c r="E8" s="66"/>
      <c r="F8" s="66"/>
      <c r="G8" s="66"/>
      <c r="H8" s="66"/>
      <c r="I8" s="68"/>
      <c r="J8" s="68"/>
    </row>
    <row r="9" spans="1:16" s="67" customFormat="1" ht="14.25">
      <c r="A9" s="65" t="s">
        <v>97</v>
      </c>
      <c r="B9" s="65"/>
      <c r="C9" s="65"/>
      <c r="D9" s="65"/>
      <c r="E9" s="68" t="s">
        <v>211</v>
      </c>
      <c r="F9" s="66"/>
      <c r="G9" s="66"/>
      <c r="H9" s="66"/>
      <c r="I9" s="66"/>
      <c r="J9" s="66"/>
    </row>
    <row r="10" spans="1:16" s="67" customFormat="1" ht="14.25">
      <c r="A10" s="65" t="s">
        <v>117</v>
      </c>
      <c r="B10" s="65"/>
      <c r="C10" s="65"/>
      <c r="D10" s="65"/>
      <c r="F10" s="68"/>
      <c r="G10" s="68"/>
      <c r="H10" s="68"/>
      <c r="I10" s="68"/>
      <c r="J10" s="68"/>
    </row>
    <row r="11" spans="1:16" s="67" customFormat="1" ht="14.25">
      <c r="A11" s="65" t="s">
        <v>203</v>
      </c>
      <c r="B11" s="65"/>
      <c r="C11" s="65"/>
      <c r="D11" s="65"/>
      <c r="E11" s="65" t="s">
        <v>212</v>
      </c>
      <c r="F11" s="65"/>
      <c r="G11" s="65" t="s">
        <v>60</v>
      </c>
      <c r="I11" s="65"/>
      <c r="J11" s="65"/>
    </row>
    <row r="12" spans="1:16" s="67" customFormat="1" ht="14.25">
      <c r="A12" s="65" t="s">
        <v>204</v>
      </c>
      <c r="B12" s="65"/>
      <c r="C12" s="65"/>
      <c r="D12" s="65"/>
      <c r="E12" s="65" t="s">
        <v>213</v>
      </c>
      <c r="F12" s="65"/>
      <c r="G12" s="65" t="s">
        <v>251</v>
      </c>
      <c r="I12" s="65"/>
      <c r="J12" s="65"/>
    </row>
    <row r="13" spans="1:16" s="67" customFormat="1" ht="14.25">
      <c r="A13" s="65" t="s">
        <v>205</v>
      </c>
      <c r="B13" s="65"/>
      <c r="C13" s="65"/>
      <c r="D13" s="65"/>
      <c r="E13" s="65" t="s">
        <v>214</v>
      </c>
      <c r="F13" s="65"/>
      <c r="G13" s="65" t="s">
        <v>27</v>
      </c>
      <c r="I13" s="65"/>
      <c r="J13" s="65"/>
    </row>
    <row r="14" spans="1:16" s="67" customFormat="1" ht="14.25">
      <c r="A14" s="65" t="s">
        <v>206</v>
      </c>
      <c r="B14" s="65"/>
      <c r="C14" s="65"/>
      <c r="D14" s="65"/>
      <c r="E14" s="65" t="s">
        <v>215</v>
      </c>
      <c r="F14" s="65"/>
      <c r="G14" s="65" t="s">
        <v>216</v>
      </c>
      <c r="I14" s="65"/>
      <c r="J14" s="65"/>
    </row>
    <row r="15" spans="1:16" s="67" customFormat="1" ht="14.25">
      <c r="A15" s="65" t="s">
        <v>207</v>
      </c>
      <c r="B15" s="65"/>
      <c r="C15" s="65"/>
      <c r="D15" s="65"/>
      <c r="E15" s="65" t="s">
        <v>217</v>
      </c>
      <c r="F15" s="65"/>
      <c r="G15" s="65" t="s">
        <v>265</v>
      </c>
      <c r="I15" s="65"/>
      <c r="J15" s="65"/>
    </row>
    <row r="16" spans="1:16" ht="18.75">
      <c r="A16" s="69"/>
      <c r="B16" s="69"/>
      <c r="C16" s="69"/>
      <c r="D16" s="69"/>
      <c r="E16" s="69"/>
      <c r="F16" s="70"/>
      <c r="G16" s="70"/>
      <c r="H16" s="70"/>
      <c r="I16" s="70"/>
      <c r="J16" s="70"/>
      <c r="K16" s="71"/>
      <c r="L16" s="71"/>
      <c r="M16" s="71"/>
      <c r="N16" s="71"/>
      <c r="O16" s="71"/>
      <c r="P16" s="71"/>
    </row>
    <row r="17" spans="1:16" ht="30" customHeight="1">
      <c r="A17" s="185" t="s">
        <v>266</v>
      </c>
      <c r="B17" s="185"/>
      <c r="C17" s="185"/>
      <c r="D17" s="185"/>
      <c r="E17" s="185"/>
      <c r="F17" s="185"/>
      <c r="G17" s="185"/>
      <c r="H17" s="185"/>
      <c r="I17" s="66"/>
      <c r="J17" s="66"/>
      <c r="K17" s="72"/>
      <c r="L17" s="72"/>
      <c r="M17" s="72"/>
      <c r="N17" s="72"/>
      <c r="O17" s="72"/>
      <c r="P17" s="72"/>
    </row>
    <row r="18" spans="1:16" ht="15.75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2"/>
      <c r="L18" s="72"/>
      <c r="M18" s="72"/>
      <c r="N18" s="72"/>
      <c r="O18" s="72"/>
      <c r="P18" s="72"/>
    </row>
    <row r="19" spans="1:16" ht="15.75">
      <c r="A19" s="188" t="s">
        <v>63</v>
      </c>
      <c r="B19" s="188"/>
      <c r="C19" s="188"/>
      <c r="D19" s="188"/>
      <c r="E19" s="188"/>
      <c r="F19" s="188"/>
      <c r="G19" s="188"/>
      <c r="H19" s="188"/>
      <c r="I19" s="74"/>
      <c r="J19" s="74"/>
      <c r="K19" s="74"/>
      <c r="L19" s="74"/>
      <c r="M19" s="74"/>
      <c r="N19" s="74"/>
      <c r="O19" s="74"/>
      <c r="P19" s="74"/>
    </row>
    <row r="20" spans="1:16" ht="15.75">
      <c r="A20" s="75"/>
      <c r="B20" s="224"/>
      <c r="C20" s="224"/>
      <c r="D20" s="224"/>
      <c r="E20" s="224"/>
      <c r="F20" s="224"/>
      <c r="G20" s="75"/>
      <c r="H20" s="76" t="s">
        <v>218</v>
      </c>
      <c r="I20" s="76"/>
      <c r="K20" s="72"/>
      <c r="M20" s="72"/>
      <c r="N20" s="72"/>
      <c r="O20" s="77"/>
    </row>
    <row r="21" spans="1:16" s="67" customFormat="1" ht="15" customHeight="1">
      <c r="A21" s="225" t="s">
        <v>219</v>
      </c>
      <c r="B21" s="235"/>
      <c r="C21" s="238" t="s">
        <v>253</v>
      </c>
      <c r="D21" s="238" t="s">
        <v>220</v>
      </c>
      <c r="E21" s="243" t="s">
        <v>10</v>
      </c>
      <c r="F21" s="225" t="s">
        <v>252</v>
      </c>
      <c r="G21" s="195" t="s">
        <v>221</v>
      </c>
      <c r="H21" s="195" t="s">
        <v>222</v>
      </c>
      <c r="I21" s="78"/>
    </row>
    <row r="22" spans="1:16" s="67" customFormat="1" ht="15" customHeight="1">
      <c r="A22" s="226"/>
      <c r="B22" s="236"/>
      <c r="C22" s="239"/>
      <c r="D22" s="239"/>
      <c r="E22" s="244"/>
      <c r="F22" s="226"/>
      <c r="G22" s="195"/>
      <c r="H22" s="195"/>
      <c r="I22" s="78"/>
    </row>
    <row r="23" spans="1:16" s="67" customFormat="1" ht="89.25" customHeight="1">
      <c r="A23" s="227"/>
      <c r="B23" s="237"/>
      <c r="C23" s="240"/>
      <c r="D23" s="240"/>
      <c r="E23" s="245"/>
      <c r="F23" s="227"/>
      <c r="G23" s="195"/>
      <c r="H23" s="195"/>
      <c r="I23" s="157"/>
    </row>
    <row r="24" spans="1:16" s="81" customFormat="1" ht="14.25">
      <c r="A24" s="246">
        <v>474313</v>
      </c>
      <c r="B24" s="247"/>
      <c r="C24" s="141">
        <v>217420.17</v>
      </c>
      <c r="D24" s="142">
        <v>204336.07</v>
      </c>
      <c r="E24" s="142">
        <v>118939.32</v>
      </c>
      <c r="F24" s="141">
        <f>C24-D24</f>
        <v>13084.100000000006</v>
      </c>
      <c r="G24" s="143">
        <v>434256</v>
      </c>
      <c r="H24" s="144">
        <f>A24+D24+E24-G24</f>
        <v>363332.39000000013</v>
      </c>
      <c r="I24" s="79"/>
      <c r="J24" s="80"/>
    </row>
    <row r="25" spans="1:16" ht="15">
      <c r="A25" s="75"/>
      <c r="B25" s="75"/>
      <c r="C25" s="75"/>
      <c r="D25" s="75"/>
      <c r="E25" s="75"/>
      <c r="F25" s="75"/>
      <c r="G25" s="75"/>
      <c r="H25" s="75"/>
      <c r="I25" s="112"/>
      <c r="J25" s="75"/>
      <c r="K25" s="72"/>
      <c r="L25" s="72"/>
      <c r="M25" s="72"/>
      <c r="N25" s="72"/>
      <c r="O25" s="72"/>
      <c r="P25" s="72"/>
    </row>
    <row r="26" spans="1:16" ht="14.25">
      <c r="A26" s="65" t="s">
        <v>83</v>
      </c>
      <c r="B26" s="65"/>
      <c r="C26" s="65"/>
      <c r="D26" s="65"/>
      <c r="E26" s="65"/>
      <c r="F26" s="65"/>
      <c r="G26" s="84"/>
      <c r="H26" s="84"/>
      <c r="I26" s="65"/>
      <c r="J26" s="65"/>
      <c r="K26" s="67"/>
      <c r="L26" s="67"/>
      <c r="M26" s="67"/>
      <c r="N26" s="67"/>
      <c r="O26" s="67"/>
      <c r="P26" s="67"/>
    </row>
    <row r="27" spans="1:16" ht="14.25">
      <c r="A27" s="65" t="s">
        <v>255</v>
      </c>
      <c r="B27" s="65"/>
      <c r="C27" s="65"/>
      <c r="D27" s="65"/>
      <c r="E27" s="65"/>
      <c r="F27" s="65"/>
      <c r="G27" s="84"/>
      <c r="H27" s="84"/>
      <c r="I27" s="65"/>
      <c r="J27" s="67"/>
      <c r="K27" s="67"/>
      <c r="L27" s="67"/>
      <c r="M27" s="67"/>
      <c r="N27" s="67"/>
      <c r="O27" s="67"/>
    </row>
    <row r="28" spans="1:16" ht="15" customHeight="1">
      <c r="A28" s="185" t="s">
        <v>248</v>
      </c>
      <c r="B28" s="185"/>
      <c r="C28" s="185"/>
      <c r="D28" s="185"/>
      <c r="E28" s="185"/>
      <c r="F28" s="185"/>
      <c r="G28" s="185"/>
      <c r="H28" s="66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65" t="s">
        <v>249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</row>
    <row r="30" spans="1:16" ht="15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</row>
    <row r="31" spans="1:16" s="145" customFormat="1" ht="15.75">
      <c r="A31" s="184" t="s">
        <v>223</v>
      </c>
      <c r="B31" s="184"/>
      <c r="C31" s="184"/>
      <c r="D31" s="184"/>
      <c r="E31" s="184"/>
      <c r="F31" s="184"/>
      <c r="G31" s="184"/>
      <c r="H31" s="184"/>
      <c r="I31" s="86"/>
      <c r="J31" s="86"/>
    </row>
    <row r="32" spans="1:16" s="145" customFormat="1">
      <c r="A32" s="87"/>
      <c r="B32" s="146"/>
      <c r="C32" s="248"/>
      <c r="D32" s="248"/>
      <c r="E32" s="249"/>
      <c r="F32" s="249"/>
      <c r="G32" s="146"/>
      <c r="H32" s="88" t="s">
        <v>224</v>
      </c>
      <c r="I32" s="88"/>
    </row>
    <row r="33" spans="1:23" s="145" customFormat="1" ht="15.75">
      <c r="A33" s="190" t="s">
        <v>112</v>
      </c>
      <c r="B33" s="191"/>
      <c r="C33" s="218" t="s">
        <v>47</v>
      </c>
      <c r="D33" s="219"/>
      <c r="E33" s="219"/>
      <c r="F33" s="219"/>
      <c r="G33" s="220"/>
      <c r="H33" s="89" t="s">
        <v>225</v>
      </c>
      <c r="L33" s="90"/>
      <c r="M33" s="90"/>
      <c r="N33" s="90"/>
      <c r="O33" s="90"/>
      <c r="P33" s="90"/>
      <c r="Q33" s="90"/>
      <c r="R33" s="90"/>
    </row>
    <row r="34" spans="1:23" s="145" customFormat="1" ht="15" customHeight="1">
      <c r="A34" s="258" t="s">
        <v>247</v>
      </c>
      <c r="B34" s="259"/>
      <c r="C34" s="114" t="s">
        <v>24</v>
      </c>
      <c r="D34" s="91"/>
      <c r="E34" s="91"/>
      <c r="F34" s="91"/>
      <c r="G34" s="91"/>
      <c r="H34" s="102">
        <f>1952</f>
        <v>1952</v>
      </c>
      <c r="L34" s="90"/>
      <c r="M34" s="90"/>
      <c r="N34" s="90"/>
      <c r="O34" s="90"/>
      <c r="P34" s="90"/>
      <c r="Q34" s="90"/>
      <c r="R34" s="90"/>
    </row>
    <row r="35" spans="1:23" s="145" customFormat="1" ht="15" customHeight="1">
      <c r="A35" s="258"/>
      <c r="B35" s="259"/>
      <c r="C35" s="114" t="s">
        <v>6</v>
      </c>
      <c r="D35" s="91"/>
      <c r="E35" s="91"/>
      <c r="F35" s="91"/>
      <c r="G35" s="91"/>
      <c r="H35" s="102">
        <f>18041</f>
        <v>18041</v>
      </c>
      <c r="L35" s="90"/>
      <c r="M35" s="90"/>
      <c r="N35" s="90"/>
      <c r="O35" s="90"/>
      <c r="P35" s="90"/>
      <c r="Q35" s="90"/>
      <c r="R35" s="90"/>
    </row>
    <row r="36" spans="1:23" s="145" customFormat="1" ht="15" customHeight="1">
      <c r="A36" s="258"/>
      <c r="B36" s="259"/>
      <c r="C36" s="114" t="s">
        <v>89</v>
      </c>
      <c r="D36" s="158"/>
      <c r="E36" s="91"/>
      <c r="F36" s="91"/>
      <c r="G36" s="153"/>
      <c r="H36" s="102">
        <f>7107+5626+1502+4371</f>
        <v>18606</v>
      </c>
      <c r="L36" s="90"/>
      <c r="M36" s="90"/>
      <c r="N36" s="90"/>
      <c r="O36" s="90"/>
      <c r="P36" s="90"/>
      <c r="Q36" s="90"/>
      <c r="R36" s="90"/>
    </row>
    <row r="37" spans="1:23" s="145" customFormat="1" ht="15" customHeight="1">
      <c r="A37" s="258"/>
      <c r="B37" s="259"/>
      <c r="C37" s="114" t="s">
        <v>91</v>
      </c>
      <c r="D37" s="158"/>
      <c r="E37" s="91"/>
      <c r="F37" s="91"/>
      <c r="G37" s="153"/>
      <c r="H37" s="102">
        <f>20400</f>
        <v>20400</v>
      </c>
      <c r="L37" s="90"/>
      <c r="M37" s="90"/>
      <c r="N37" s="90"/>
      <c r="O37" s="90"/>
      <c r="P37" s="90"/>
      <c r="Q37" s="90"/>
      <c r="R37" s="90"/>
    </row>
    <row r="38" spans="1:23" s="145" customFormat="1" ht="15" customHeight="1">
      <c r="A38" s="258"/>
      <c r="B38" s="259"/>
      <c r="C38" s="114" t="s">
        <v>14</v>
      </c>
      <c r="D38" s="91"/>
      <c r="E38" s="91"/>
      <c r="F38" s="91"/>
      <c r="G38" s="153"/>
      <c r="H38" s="102">
        <f>20415+2270+8703</f>
        <v>31388</v>
      </c>
      <c r="L38" s="90"/>
      <c r="M38" s="90"/>
      <c r="N38" s="90"/>
      <c r="O38" s="90"/>
      <c r="P38" s="90"/>
      <c r="Q38" s="90"/>
      <c r="R38" s="90"/>
    </row>
    <row r="39" spans="1:23" s="145" customFormat="1" ht="15" customHeight="1">
      <c r="A39" s="258"/>
      <c r="B39" s="259"/>
      <c r="C39" s="114" t="s">
        <v>270</v>
      </c>
      <c r="D39" s="91"/>
      <c r="E39" s="91"/>
      <c r="F39" s="91"/>
      <c r="G39" s="91"/>
      <c r="H39" s="102">
        <f>2421</f>
        <v>2421</v>
      </c>
      <c r="L39" s="90"/>
      <c r="M39" s="90"/>
      <c r="N39" s="90"/>
      <c r="O39" s="90"/>
      <c r="P39" s="90"/>
      <c r="Q39" s="90"/>
      <c r="R39" s="90"/>
    </row>
    <row r="40" spans="1:23" s="145" customFormat="1" ht="15" customHeight="1">
      <c r="A40" s="258"/>
      <c r="B40" s="259"/>
      <c r="C40" s="114" t="s">
        <v>86</v>
      </c>
      <c r="D40" s="91"/>
      <c r="E40" s="91"/>
      <c r="F40" s="91"/>
      <c r="G40" s="91"/>
      <c r="H40" s="102">
        <f>85362+85362+85362+85362</f>
        <v>341448</v>
      </c>
      <c r="L40" s="90"/>
      <c r="M40" s="90"/>
      <c r="N40" s="90"/>
      <c r="O40" s="90"/>
      <c r="P40" s="90"/>
      <c r="Q40" s="90"/>
      <c r="R40" s="90"/>
    </row>
    <row r="41" spans="1:23" s="145" customFormat="1" ht="15">
      <c r="A41" s="258"/>
      <c r="B41" s="259"/>
      <c r="C41" s="92"/>
      <c r="D41" s="93"/>
      <c r="E41" s="93"/>
      <c r="F41" s="93"/>
      <c r="G41" s="93"/>
      <c r="H41" s="94">
        <f>SUM(H34:H40)</f>
        <v>434256</v>
      </c>
      <c r="K41" s="147"/>
      <c r="L41" s="90"/>
      <c r="M41" s="90"/>
      <c r="N41" s="90"/>
      <c r="O41" s="90"/>
      <c r="P41" s="90"/>
      <c r="Q41" s="90"/>
      <c r="R41" s="90"/>
    </row>
    <row r="42" spans="1:23" s="145" customFormat="1" ht="15">
      <c r="A42" s="258"/>
      <c r="B42" s="259"/>
      <c r="C42" s="190" t="s">
        <v>57</v>
      </c>
      <c r="D42" s="191"/>
      <c r="E42" s="191"/>
      <c r="F42" s="191"/>
      <c r="G42" s="192"/>
      <c r="H42" s="94"/>
    </row>
    <row r="43" spans="1:23" s="145" customFormat="1" ht="15">
      <c r="A43" s="258"/>
      <c r="B43" s="259"/>
      <c r="C43" s="114" t="s">
        <v>226</v>
      </c>
      <c r="D43" s="93"/>
      <c r="E43" s="93"/>
      <c r="F43" s="93"/>
      <c r="G43" s="93"/>
      <c r="H43" s="102">
        <f>10880+13760</f>
        <v>24640</v>
      </c>
      <c r="L43" s="212"/>
      <c r="M43" s="212"/>
      <c r="N43" s="212"/>
      <c r="O43" s="212"/>
      <c r="P43" s="212"/>
      <c r="Q43" s="212"/>
      <c r="R43" s="212"/>
      <c r="S43" s="212"/>
      <c r="T43" s="212"/>
      <c r="U43" s="212"/>
      <c r="V43" s="212"/>
      <c r="W43" s="212"/>
    </row>
    <row r="44" spans="1:23" s="145" customFormat="1" ht="15">
      <c r="A44" s="258"/>
      <c r="B44" s="259"/>
      <c r="C44" s="114" t="s">
        <v>91</v>
      </c>
      <c r="D44" s="93"/>
      <c r="E44" s="93"/>
      <c r="F44" s="93"/>
      <c r="G44" s="93"/>
      <c r="H44" s="102">
        <f>20400</f>
        <v>20400</v>
      </c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</row>
    <row r="45" spans="1:23" s="145" customFormat="1" ht="15">
      <c r="A45" s="258"/>
      <c r="B45" s="259"/>
      <c r="C45" s="114" t="s">
        <v>23</v>
      </c>
      <c r="D45" s="93"/>
      <c r="E45" s="93"/>
      <c r="F45" s="93"/>
      <c r="G45" s="93"/>
      <c r="H45" s="102">
        <f>2122</f>
        <v>2122</v>
      </c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</row>
    <row r="46" spans="1:23" s="145" customFormat="1" ht="15">
      <c r="A46" s="258"/>
      <c r="B46" s="259"/>
      <c r="C46" s="114" t="s">
        <v>6</v>
      </c>
      <c r="D46" s="93"/>
      <c r="E46" s="93"/>
      <c r="F46" s="93"/>
      <c r="G46" s="93"/>
      <c r="H46" s="102">
        <f>15362+4500</f>
        <v>19862</v>
      </c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</row>
    <row r="47" spans="1:23" s="145" customFormat="1" ht="15" customHeight="1">
      <c r="A47" s="258"/>
      <c r="B47" s="259"/>
      <c r="C47" s="114" t="s">
        <v>45</v>
      </c>
      <c r="D47" s="93"/>
      <c r="E47" s="93"/>
      <c r="F47" s="93"/>
      <c r="G47" s="93"/>
      <c r="H47" s="102">
        <f>1048+4573</f>
        <v>5621</v>
      </c>
    </row>
    <row r="48" spans="1:23" s="145" customFormat="1" ht="15">
      <c r="A48" s="260"/>
      <c r="B48" s="261"/>
      <c r="C48" s="114" t="s">
        <v>14</v>
      </c>
      <c r="D48" s="93"/>
      <c r="E48" s="93"/>
      <c r="F48" s="93"/>
      <c r="G48" s="93"/>
      <c r="H48" s="102">
        <f>20232+10298+7297+24167</f>
        <v>61994</v>
      </c>
    </row>
    <row r="49" spans="1:16">
      <c r="A49" s="95"/>
      <c r="B49" s="95"/>
      <c r="C49" s="95"/>
      <c r="D49" s="95"/>
      <c r="E49" s="96"/>
      <c r="F49" s="96"/>
      <c r="G49" s="96"/>
      <c r="H49" s="96"/>
      <c r="I49" s="96"/>
      <c r="J49" s="96"/>
    </row>
    <row r="50" spans="1:16" ht="42.75" customHeight="1">
      <c r="A50" s="185" t="s">
        <v>267</v>
      </c>
      <c r="B50" s="185"/>
      <c r="C50" s="185"/>
      <c r="D50" s="185"/>
      <c r="E50" s="185"/>
      <c r="F50" s="185"/>
      <c r="G50" s="185"/>
      <c r="H50" s="185"/>
      <c r="I50" s="66"/>
      <c r="J50" s="66"/>
    </row>
    <row r="51" spans="1:16">
      <c r="A51" s="95"/>
      <c r="B51" s="95"/>
      <c r="C51" s="95"/>
      <c r="D51" s="95"/>
      <c r="E51" s="96"/>
      <c r="F51" s="96"/>
      <c r="G51" s="96"/>
      <c r="H51" s="96"/>
      <c r="I51" s="96"/>
      <c r="J51" s="96"/>
    </row>
    <row r="52" spans="1:16" ht="33" customHeight="1">
      <c r="A52" s="186" t="s">
        <v>49</v>
      </c>
      <c r="B52" s="186"/>
      <c r="C52" s="186"/>
      <c r="D52" s="186"/>
      <c r="E52" s="186"/>
      <c r="F52" s="186"/>
      <c r="G52" s="186"/>
      <c r="H52" s="186"/>
      <c r="I52" s="97"/>
      <c r="J52" s="97"/>
      <c r="K52" s="74"/>
      <c r="L52" s="74"/>
      <c r="M52" s="74"/>
      <c r="N52" s="74"/>
      <c r="O52" s="74"/>
      <c r="P52" s="74"/>
    </row>
    <row r="53" spans="1:16" ht="15">
      <c r="A53" s="98"/>
      <c r="B53" s="98"/>
      <c r="C53" s="98"/>
      <c r="D53" s="98"/>
      <c r="E53" s="98"/>
      <c r="F53" s="98"/>
      <c r="G53" s="98"/>
      <c r="H53" s="99" t="s">
        <v>227</v>
      </c>
      <c r="J53" s="98"/>
      <c r="M53" s="98"/>
      <c r="N53" s="98"/>
      <c r="O53" s="98"/>
      <c r="P53" s="98"/>
    </row>
    <row r="54" spans="1:16" ht="15.75">
      <c r="A54" s="218" t="s">
        <v>112</v>
      </c>
      <c r="B54" s="220"/>
      <c r="C54" s="218" t="s">
        <v>56</v>
      </c>
      <c r="D54" s="219"/>
      <c r="E54" s="219"/>
      <c r="F54" s="219"/>
      <c r="G54" s="220"/>
      <c r="H54" s="89" t="s">
        <v>225</v>
      </c>
      <c r="I54" s="98"/>
      <c r="J54" s="98"/>
      <c r="K54" s="98"/>
      <c r="L54" s="98"/>
    </row>
    <row r="55" spans="1:16" ht="15" customHeight="1">
      <c r="A55" s="256" t="s">
        <v>247</v>
      </c>
      <c r="B55" s="257"/>
      <c r="C55" s="197" t="s">
        <v>1</v>
      </c>
      <c r="D55" s="198"/>
      <c r="E55" s="198"/>
      <c r="F55" s="198"/>
      <c r="G55" s="199"/>
      <c r="H55" s="102">
        <f>6296+2478</f>
        <v>8774</v>
      </c>
      <c r="I55" s="98"/>
      <c r="J55" s="98"/>
      <c r="K55" s="98"/>
      <c r="L55" s="98"/>
    </row>
    <row r="56" spans="1:16" ht="15" customHeight="1">
      <c r="A56" s="258"/>
      <c r="B56" s="259"/>
      <c r="C56" s="250" t="s">
        <v>20</v>
      </c>
      <c r="D56" s="221"/>
      <c r="E56" s="221"/>
      <c r="F56" s="221"/>
      <c r="G56" s="222"/>
      <c r="H56" s="102">
        <f>4092</f>
        <v>4092</v>
      </c>
      <c r="I56" s="98"/>
      <c r="J56" s="98"/>
      <c r="K56" s="98"/>
      <c r="L56" s="98"/>
    </row>
    <row r="57" spans="1:16" ht="15" customHeight="1">
      <c r="A57" s="258"/>
      <c r="B57" s="259"/>
      <c r="C57" s="250" t="s">
        <v>46</v>
      </c>
      <c r="D57" s="221"/>
      <c r="E57" s="221"/>
      <c r="F57" s="221"/>
      <c r="G57" s="222"/>
      <c r="H57" s="102">
        <f>749+749</f>
        <v>1498</v>
      </c>
      <c r="I57" s="98"/>
      <c r="J57" s="98"/>
      <c r="K57" s="98"/>
      <c r="L57" s="98"/>
    </row>
    <row r="58" spans="1:16" ht="15" customHeight="1">
      <c r="A58" s="258"/>
      <c r="B58" s="259"/>
      <c r="C58" s="114" t="s">
        <v>134</v>
      </c>
      <c r="D58" s="100"/>
      <c r="E58" s="100"/>
      <c r="F58" s="100"/>
      <c r="G58" s="101"/>
      <c r="H58" s="102">
        <f>H78</f>
        <v>16368.187165773932</v>
      </c>
      <c r="I58" s="98"/>
      <c r="J58" s="98"/>
      <c r="K58" s="98"/>
      <c r="L58" s="98"/>
    </row>
    <row r="59" spans="1:16" ht="15">
      <c r="A59" s="258"/>
      <c r="B59" s="259"/>
      <c r="C59" s="262" t="s">
        <v>57</v>
      </c>
      <c r="D59" s="262"/>
      <c r="E59" s="262"/>
      <c r="F59" s="262"/>
      <c r="G59" s="263"/>
      <c r="H59" s="102"/>
      <c r="I59" s="98"/>
      <c r="J59" s="98"/>
      <c r="K59" s="98"/>
      <c r="L59" s="98"/>
    </row>
    <row r="60" spans="1:16" ht="14.25">
      <c r="A60" s="260"/>
      <c r="B60" s="261"/>
      <c r="C60" s="250" t="s">
        <v>228</v>
      </c>
      <c r="D60" s="221"/>
      <c r="E60" s="221"/>
      <c r="F60" s="221"/>
      <c r="G60" s="222"/>
      <c r="H60" s="159">
        <v>11163.94</v>
      </c>
      <c r="I60" s="96"/>
      <c r="J60" s="96"/>
    </row>
    <row r="61" spans="1:16" ht="15">
      <c r="A61" s="103"/>
      <c r="B61" s="103"/>
      <c r="C61" s="160"/>
      <c r="D61" s="160"/>
      <c r="E61" s="128"/>
      <c r="F61" s="128"/>
      <c r="G61" s="128"/>
      <c r="H61" s="161"/>
      <c r="I61" s="96"/>
      <c r="J61" s="96"/>
    </row>
    <row r="62" spans="1:16">
      <c r="A62" s="90" t="s">
        <v>208</v>
      </c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</row>
    <row r="63" spans="1:16" ht="18" customHeight="1">
      <c r="A63" s="187" t="s">
        <v>111</v>
      </c>
      <c r="B63" s="187"/>
      <c r="C63" s="187"/>
      <c r="D63" s="187"/>
      <c r="E63" s="187"/>
      <c r="F63" s="187"/>
      <c r="G63" s="187"/>
      <c r="H63" s="187"/>
      <c r="I63" s="106"/>
      <c r="J63" s="106"/>
    </row>
    <row r="64" spans="1:16" ht="12" customHeight="1">
      <c r="A64" s="106"/>
      <c r="B64" s="106"/>
      <c r="C64" s="106"/>
      <c r="D64" s="106"/>
      <c r="E64" s="106"/>
      <c r="F64" s="106"/>
      <c r="G64" s="106"/>
      <c r="H64" s="106"/>
      <c r="I64" s="106"/>
      <c r="J64" s="106"/>
    </row>
    <row r="65" spans="1:22" ht="15.75">
      <c r="A65" s="188" t="s">
        <v>109</v>
      </c>
      <c r="B65" s="188"/>
      <c r="C65" s="188"/>
      <c r="D65" s="188"/>
      <c r="E65" s="188"/>
      <c r="F65" s="188"/>
      <c r="G65" s="188"/>
      <c r="H65" s="188"/>
      <c r="I65" s="74"/>
      <c r="J65" s="74"/>
    </row>
    <row r="66" spans="1:22" ht="15.75">
      <c r="A66" s="107"/>
      <c r="B66" s="107"/>
      <c r="C66" s="107"/>
      <c r="D66" s="107"/>
      <c r="E66" s="107"/>
      <c r="F66" s="107"/>
      <c r="G66" s="107"/>
      <c r="H66" s="99" t="s">
        <v>229</v>
      </c>
      <c r="J66" s="107"/>
    </row>
    <row r="67" spans="1:22" ht="15.75">
      <c r="A67" s="230" t="s">
        <v>110</v>
      </c>
      <c r="B67" s="230"/>
      <c r="C67" s="230"/>
      <c r="D67" s="230"/>
      <c r="E67" s="230"/>
      <c r="F67" s="230"/>
      <c r="G67" s="231"/>
      <c r="H67" s="108">
        <f>SUM(H76:H89)+H69+H75</f>
        <v>2616427.116886396</v>
      </c>
      <c r="I67" s="109"/>
      <c r="J67" s="109"/>
    </row>
    <row r="68" spans="1:22" ht="15">
      <c r="A68" s="110" t="s">
        <v>98</v>
      </c>
      <c r="B68" s="232" t="s">
        <v>99</v>
      </c>
      <c r="C68" s="233"/>
      <c r="D68" s="233"/>
      <c r="E68" s="233"/>
      <c r="F68" s="233"/>
      <c r="G68" s="234"/>
      <c r="H68" s="111" t="s">
        <v>100</v>
      </c>
      <c r="I68" s="112"/>
      <c r="K68" s="90"/>
      <c r="L68" s="90"/>
      <c r="M68" s="90"/>
      <c r="N68" s="90"/>
      <c r="O68" s="90"/>
      <c r="P68" s="90"/>
      <c r="Q68" s="90"/>
    </row>
    <row r="69" spans="1:22" ht="15.75">
      <c r="A69" s="113" t="s">
        <v>101</v>
      </c>
      <c r="B69" s="114" t="s">
        <v>102</v>
      </c>
      <c r="C69" s="91"/>
      <c r="D69" s="91"/>
      <c r="E69" s="91"/>
      <c r="F69" s="91"/>
      <c r="G69" s="91"/>
      <c r="H69" s="115">
        <f>SUM(SUM(H70:H74))</f>
        <v>184858.84269503294</v>
      </c>
      <c r="I69" s="75"/>
      <c r="K69" s="105"/>
      <c r="L69" s="90"/>
      <c r="M69" s="90"/>
      <c r="N69" s="90"/>
      <c r="O69" s="90"/>
      <c r="P69" s="90"/>
      <c r="Q69" s="90"/>
    </row>
    <row r="70" spans="1:22" ht="15">
      <c r="A70" s="113"/>
      <c r="B70" s="114" t="s">
        <v>0</v>
      </c>
      <c r="C70" s="91"/>
      <c r="D70" s="91"/>
      <c r="E70" s="91"/>
      <c r="F70" s="91"/>
      <c r="G70" s="91"/>
      <c r="H70" s="116">
        <f>1048</f>
        <v>1048</v>
      </c>
      <c r="I70" s="75"/>
      <c r="K70" s="90"/>
      <c r="L70" s="90"/>
      <c r="M70" s="90"/>
      <c r="N70" s="90"/>
      <c r="O70" s="90"/>
      <c r="P70" s="90"/>
      <c r="Q70" s="90"/>
    </row>
    <row r="71" spans="1:22" ht="15">
      <c r="A71" s="113"/>
      <c r="B71" s="114" t="s">
        <v>256</v>
      </c>
      <c r="C71" s="91"/>
      <c r="D71" s="91"/>
      <c r="E71" s="91"/>
      <c r="F71" s="91"/>
      <c r="G71" s="91"/>
      <c r="H71" s="116">
        <f>16725+1365+5550</f>
        <v>23640</v>
      </c>
      <c r="I71" s="75"/>
      <c r="K71" s="90"/>
      <c r="L71" s="90"/>
      <c r="M71" s="90"/>
      <c r="N71" s="90"/>
      <c r="O71" s="90"/>
      <c r="P71" s="90"/>
      <c r="Q71" s="90"/>
    </row>
    <row r="72" spans="1:22" ht="15">
      <c r="A72" s="113"/>
      <c r="B72" s="114" t="s">
        <v>37</v>
      </c>
      <c r="C72" s="91"/>
      <c r="D72" s="91"/>
      <c r="E72" s="91"/>
      <c r="F72" s="91"/>
      <c r="G72" s="91"/>
      <c r="H72" s="116">
        <f>6855+3700+13768+1396</f>
        <v>25719</v>
      </c>
      <c r="I72" s="75"/>
      <c r="K72" s="90"/>
      <c r="L72" s="90"/>
      <c r="M72" s="90"/>
      <c r="N72" s="90"/>
      <c r="O72" s="90"/>
      <c r="P72" s="90"/>
      <c r="Q72" s="90"/>
    </row>
    <row r="73" spans="1:22" ht="15">
      <c r="A73" s="113"/>
      <c r="B73" s="114" t="s">
        <v>30</v>
      </c>
      <c r="C73" s="91"/>
      <c r="D73" s="91"/>
      <c r="E73" s="91"/>
      <c r="F73" s="91"/>
      <c r="G73" s="91"/>
      <c r="H73" s="116">
        <f>1960+2938+910</f>
        <v>5808</v>
      </c>
      <c r="I73" s="75"/>
      <c r="K73" s="90"/>
      <c r="L73" s="90"/>
      <c r="M73" s="90"/>
      <c r="N73" s="90"/>
      <c r="O73" s="90"/>
      <c r="P73" s="90"/>
      <c r="Q73" s="90"/>
    </row>
    <row r="74" spans="1:22" ht="49.5" customHeight="1">
      <c r="A74" s="113"/>
      <c r="B74" s="213" t="s">
        <v>21</v>
      </c>
      <c r="C74" s="214"/>
      <c r="D74" s="214"/>
      <c r="E74" s="214"/>
      <c r="F74" s="214"/>
      <c r="G74" s="214"/>
      <c r="H74" s="116">
        <f>Основное!$D$22*Основное!I32</f>
        <v>128643.84269503294</v>
      </c>
      <c r="I74" s="75"/>
      <c r="K74" s="90"/>
      <c r="L74" s="90"/>
      <c r="M74" s="90"/>
      <c r="N74" s="90"/>
      <c r="O74" s="90"/>
      <c r="P74" s="90"/>
      <c r="Q74" s="90"/>
    </row>
    <row r="75" spans="1:22" ht="15">
      <c r="A75" s="113" t="s">
        <v>103</v>
      </c>
      <c r="B75" s="114" t="s">
        <v>140</v>
      </c>
      <c r="C75" s="91"/>
      <c r="D75" s="91"/>
      <c r="E75" s="91"/>
      <c r="F75" s="91"/>
      <c r="G75" s="91"/>
      <c r="H75" s="116">
        <f>Основное!$D$22*Основное!I33+H40+H37</f>
        <v>369952.08919711399</v>
      </c>
      <c r="I75" s="75"/>
      <c r="K75" s="90"/>
      <c r="L75" s="90"/>
      <c r="M75" s="90"/>
      <c r="N75" s="90"/>
      <c r="O75" s="90"/>
      <c r="P75" s="90"/>
      <c r="Q75" s="90"/>
    </row>
    <row r="76" spans="1:22" ht="15">
      <c r="A76" s="113" t="s">
        <v>276</v>
      </c>
      <c r="B76" s="61" t="s">
        <v>275</v>
      </c>
      <c r="C76" s="91"/>
      <c r="D76" s="91"/>
      <c r="E76" s="91"/>
      <c r="F76" s="91"/>
      <c r="G76" s="91"/>
      <c r="H76" s="116">
        <f>Основное!$D$22*Основное!I34</f>
        <v>17316.463668125711</v>
      </c>
      <c r="I76" s="75"/>
      <c r="K76" s="90"/>
      <c r="L76" s="90"/>
      <c r="M76" s="90"/>
      <c r="N76" s="90"/>
      <c r="O76" s="90"/>
      <c r="P76" s="90"/>
      <c r="Q76" s="90"/>
    </row>
    <row r="77" spans="1:22" ht="14.25">
      <c r="A77" s="113" t="s">
        <v>277</v>
      </c>
      <c r="B77" s="114" t="s">
        <v>104</v>
      </c>
      <c r="C77" s="91"/>
      <c r="D77" s="91"/>
      <c r="E77" s="91"/>
      <c r="F77" s="91"/>
      <c r="G77" s="91"/>
      <c r="H77" s="116">
        <f>Основное!$D$22*Основное!I35</f>
        <v>91738.423190446425</v>
      </c>
      <c r="I77" s="117"/>
      <c r="J77" s="117"/>
      <c r="K77" s="212"/>
      <c r="L77" s="212"/>
      <c r="M77" s="212"/>
      <c r="N77" s="212"/>
      <c r="O77" s="212"/>
      <c r="P77" s="212"/>
      <c r="Q77" s="212"/>
      <c r="R77" s="212"/>
      <c r="S77" s="212"/>
      <c r="T77" s="212"/>
      <c r="U77" s="212"/>
      <c r="V77" s="212"/>
    </row>
    <row r="78" spans="1:22" ht="14.25">
      <c r="A78" s="113" t="s">
        <v>273</v>
      </c>
      <c r="B78" s="114" t="s">
        <v>274</v>
      </c>
      <c r="C78" s="91"/>
      <c r="D78" s="91"/>
      <c r="E78" s="91"/>
      <c r="F78" s="91"/>
      <c r="G78" s="91"/>
      <c r="H78" s="116">
        <f>Основное!$D$22*Основное!I36</f>
        <v>16368.187165773932</v>
      </c>
      <c r="I78" s="117"/>
      <c r="J78" s="117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</row>
    <row r="79" spans="1:22" ht="15">
      <c r="A79" s="113" t="s">
        <v>278</v>
      </c>
      <c r="B79" s="114" t="s">
        <v>271</v>
      </c>
      <c r="C79" s="91"/>
      <c r="D79" s="91"/>
      <c r="E79" s="91"/>
      <c r="F79" s="91"/>
      <c r="G79" s="91"/>
      <c r="H79" s="116">
        <f>Основное!$D$22*Основное!I37</f>
        <v>151069.07584089047</v>
      </c>
      <c r="I79" s="75"/>
      <c r="M79" s="90"/>
      <c r="N79" s="90"/>
      <c r="O79" s="90"/>
      <c r="P79" s="90"/>
      <c r="Q79" s="90"/>
      <c r="R79" s="90"/>
    </row>
    <row r="80" spans="1:22" ht="15">
      <c r="A80" s="113" t="s">
        <v>279</v>
      </c>
      <c r="B80" s="114" t="s">
        <v>272</v>
      </c>
      <c r="C80" s="91"/>
      <c r="D80" s="91"/>
      <c r="E80" s="91"/>
      <c r="F80" s="91"/>
      <c r="G80" s="91"/>
      <c r="H80" s="116">
        <f>Основное!$D$22*Основное!I38</f>
        <v>10914.778015124803</v>
      </c>
      <c r="I80" s="75"/>
      <c r="M80" s="90"/>
      <c r="N80" s="90"/>
      <c r="O80" s="90"/>
      <c r="P80" s="90"/>
      <c r="Q80" s="90"/>
      <c r="R80" s="90"/>
    </row>
    <row r="81" spans="1:18" ht="15">
      <c r="A81" s="113" t="s">
        <v>280</v>
      </c>
      <c r="B81" s="114" t="s">
        <v>105</v>
      </c>
      <c r="C81" s="91"/>
      <c r="D81" s="91"/>
      <c r="E81" s="91"/>
      <c r="F81" s="91"/>
      <c r="G81" s="91"/>
      <c r="H81" s="116">
        <f>Основное!$D$22*Основное!I39</f>
        <v>146649.69126645758</v>
      </c>
      <c r="I81" s="75"/>
      <c r="M81" s="90"/>
      <c r="N81" s="90"/>
      <c r="O81" s="90"/>
      <c r="P81" s="90"/>
      <c r="Q81" s="90"/>
      <c r="R81" s="90"/>
    </row>
    <row r="82" spans="1:18" ht="15">
      <c r="A82" s="113" t="s">
        <v>281</v>
      </c>
      <c r="B82" s="114" t="s">
        <v>136</v>
      </c>
      <c r="C82" s="91"/>
      <c r="D82" s="91"/>
      <c r="E82" s="91"/>
      <c r="F82" s="91"/>
      <c r="G82" s="91"/>
      <c r="H82" s="116">
        <f>Основное!$D$22*Основное!I40</f>
        <v>351611.57318246504</v>
      </c>
      <c r="I82" s="75"/>
      <c r="M82" s="90"/>
      <c r="N82" s="90"/>
      <c r="O82" s="90"/>
      <c r="P82" s="90"/>
      <c r="Q82" s="90"/>
      <c r="R82" s="90"/>
    </row>
    <row r="83" spans="1:18" ht="15">
      <c r="A83" s="113" t="s">
        <v>282</v>
      </c>
      <c r="B83" s="114" t="s">
        <v>141</v>
      </c>
      <c r="C83" s="91"/>
      <c r="D83" s="91"/>
      <c r="E83" s="91"/>
      <c r="F83" s="91"/>
      <c r="G83" s="91"/>
      <c r="H83" s="116">
        <f>Основное!$D$22*Основное!I41</f>
        <v>41985.286667568282</v>
      </c>
      <c r="I83" s="75"/>
      <c r="M83" s="90"/>
      <c r="N83" s="90"/>
      <c r="O83" s="90"/>
      <c r="P83" s="90"/>
      <c r="Q83" s="90"/>
      <c r="R83" s="90"/>
    </row>
    <row r="84" spans="1:18" ht="15">
      <c r="A84" s="113" t="s">
        <v>283</v>
      </c>
      <c r="B84" s="114" t="s">
        <v>133</v>
      </c>
      <c r="C84" s="91"/>
      <c r="D84" s="91"/>
      <c r="E84" s="91"/>
      <c r="F84" s="91"/>
      <c r="G84" s="91"/>
      <c r="H84" s="116">
        <f>Основное!$D$22*Основное!I42</f>
        <v>21801.12634053341</v>
      </c>
      <c r="I84" s="75"/>
      <c r="M84" s="90"/>
      <c r="N84" s="90"/>
      <c r="O84" s="90"/>
      <c r="P84" s="90"/>
      <c r="Q84" s="90"/>
      <c r="R84" s="90"/>
    </row>
    <row r="85" spans="1:18" ht="15">
      <c r="A85" s="113" t="s">
        <v>284</v>
      </c>
      <c r="B85" s="114" t="s">
        <v>139</v>
      </c>
      <c r="C85" s="91"/>
      <c r="D85" s="91"/>
      <c r="E85" s="91"/>
      <c r="F85" s="91"/>
      <c r="G85" s="91"/>
      <c r="H85" s="116">
        <f>Основное!$D$22*Основное!I43</f>
        <v>8032.1820903791158</v>
      </c>
      <c r="I85" s="75"/>
      <c r="M85" s="90"/>
      <c r="N85" s="90"/>
      <c r="O85" s="90"/>
      <c r="P85" s="90"/>
      <c r="Q85" s="90"/>
      <c r="R85" s="90"/>
    </row>
    <row r="86" spans="1:18" ht="15">
      <c r="A86" s="113" t="s">
        <v>285</v>
      </c>
      <c r="B86" s="114" t="s">
        <v>106</v>
      </c>
      <c r="C86" s="91"/>
      <c r="D86" s="91"/>
      <c r="E86" s="91"/>
      <c r="F86" s="91"/>
      <c r="G86" s="91"/>
      <c r="H86" s="116">
        <f>Основное!$D$22*Основное!I44+2000</f>
        <v>951192.19632946362</v>
      </c>
      <c r="I86" s="75"/>
      <c r="M86" s="90"/>
      <c r="N86" s="90"/>
      <c r="O86" s="90"/>
      <c r="P86" s="90"/>
      <c r="Q86" s="90"/>
      <c r="R86" s="90"/>
    </row>
    <row r="87" spans="1:18" ht="15">
      <c r="A87" s="113" t="s">
        <v>286</v>
      </c>
      <c r="B87" s="114" t="s">
        <v>132</v>
      </c>
      <c r="C87" s="91"/>
      <c r="D87" s="91"/>
      <c r="E87" s="91"/>
      <c r="F87" s="91"/>
      <c r="G87" s="91"/>
      <c r="H87" s="116">
        <f>Основное!$D$22*Основное!I45+400</f>
        <v>192136.82365855161</v>
      </c>
      <c r="I87" s="75"/>
      <c r="M87" s="90"/>
      <c r="N87" s="90"/>
      <c r="O87" s="90"/>
      <c r="P87" s="90"/>
      <c r="Q87" s="90"/>
      <c r="R87" s="90"/>
    </row>
    <row r="88" spans="1:18" ht="15">
      <c r="A88" s="113" t="s">
        <v>287</v>
      </c>
      <c r="B88" s="114" t="s">
        <v>128</v>
      </c>
      <c r="C88" s="91"/>
      <c r="D88" s="91"/>
      <c r="E88" s="91"/>
      <c r="F88" s="91"/>
      <c r="G88" s="91"/>
      <c r="H88" s="116">
        <f>Основное!$D$22*Основное!I46</f>
        <v>28523.520086747772</v>
      </c>
      <c r="I88" s="75"/>
      <c r="M88" s="90"/>
      <c r="N88" s="90"/>
      <c r="O88" s="90"/>
      <c r="P88" s="90"/>
      <c r="Q88" s="90"/>
      <c r="R88" s="90"/>
    </row>
    <row r="89" spans="1:18" ht="15">
      <c r="A89" s="113" t="s">
        <v>288</v>
      </c>
      <c r="B89" s="114" t="s">
        <v>50</v>
      </c>
      <c r="C89" s="91"/>
      <c r="D89" s="91"/>
      <c r="E89" s="91"/>
      <c r="F89" s="91"/>
      <c r="G89" s="91"/>
      <c r="H89" s="116">
        <f>Основное!$D$22*Основное!I47</f>
        <v>32276.857491721727</v>
      </c>
      <c r="I89" s="75"/>
    </row>
    <row r="90" spans="1:18">
      <c r="A90" s="119"/>
      <c r="B90" s="119"/>
      <c r="C90" s="119"/>
      <c r="D90" s="119"/>
      <c r="E90" s="119"/>
      <c r="F90" s="119"/>
      <c r="G90" s="119"/>
      <c r="H90" s="120"/>
      <c r="I90" s="117"/>
      <c r="J90" s="117"/>
    </row>
    <row r="91" spans="1:18" s="145" customFormat="1" ht="26.25" customHeight="1">
      <c r="A91" s="189" t="s">
        <v>22</v>
      </c>
      <c r="B91" s="189"/>
      <c r="C91" s="189"/>
      <c r="D91" s="189"/>
      <c r="E91" s="189"/>
      <c r="F91" s="189"/>
      <c r="G91" s="189"/>
      <c r="H91" s="189"/>
      <c r="I91" s="121"/>
      <c r="J91" s="121"/>
      <c r="K91" s="82"/>
    </row>
    <row r="92" spans="1:18" s="145" customFormat="1">
      <c r="A92" s="122"/>
      <c r="B92" s="215"/>
      <c r="C92" s="215"/>
      <c r="D92" s="215"/>
      <c r="E92" s="215"/>
      <c r="F92" s="215"/>
      <c r="G92" s="215"/>
      <c r="H92" s="215"/>
      <c r="I92" s="123"/>
      <c r="J92" s="123"/>
    </row>
    <row r="93" spans="1:18" s="145" customFormat="1" ht="15.75">
      <c r="A93" s="184" t="s">
        <v>259</v>
      </c>
      <c r="B93" s="184"/>
      <c r="C93" s="184"/>
      <c r="D93" s="184"/>
      <c r="E93" s="184"/>
      <c r="F93" s="184"/>
      <c r="G93" s="184"/>
      <c r="H93" s="184"/>
      <c r="I93" s="122"/>
    </row>
    <row r="94" spans="1:18" s="145" customFormat="1" ht="15.75">
      <c r="A94" s="112"/>
      <c r="B94" s="112"/>
      <c r="C94" s="112"/>
      <c r="D94" s="112"/>
      <c r="E94" s="86"/>
      <c r="F94" s="82"/>
      <c r="H94" s="124" t="s">
        <v>230</v>
      </c>
      <c r="I94" s="123"/>
    </row>
    <row r="95" spans="1:18" s="83" customFormat="1" ht="41.25" customHeight="1">
      <c r="A95" s="125" t="s">
        <v>262</v>
      </c>
      <c r="B95" s="125" t="s">
        <v>261</v>
      </c>
      <c r="C95" s="126" t="s">
        <v>231</v>
      </c>
      <c r="D95" s="126" t="s">
        <v>232</v>
      </c>
      <c r="E95" s="127" t="s">
        <v>257</v>
      </c>
      <c r="F95" s="127" t="s">
        <v>258</v>
      </c>
      <c r="G95" s="180" t="s">
        <v>289</v>
      </c>
      <c r="H95" s="178" t="s">
        <v>290</v>
      </c>
      <c r="K95" s="128"/>
    </row>
    <row r="96" spans="1:18" s="83" customFormat="1" ht="15">
      <c r="A96" s="144">
        <v>3079.32</v>
      </c>
      <c r="B96" s="148">
        <v>12960</v>
      </c>
      <c r="C96" s="142">
        <v>12960</v>
      </c>
      <c r="D96" s="144">
        <v>12000</v>
      </c>
      <c r="E96" s="142">
        <v>12000</v>
      </c>
      <c r="F96" s="142">
        <v>16800</v>
      </c>
      <c r="G96" s="142">
        <v>32400</v>
      </c>
      <c r="H96" s="179">
        <f>SUM(A96:G96)</f>
        <v>102199.32</v>
      </c>
      <c r="I96" s="128"/>
      <c r="J96" s="128"/>
      <c r="K96" s="128"/>
    </row>
    <row r="97" spans="1:15" s="145" customFormat="1" ht="15">
      <c r="A97" s="129"/>
      <c r="B97" s="129"/>
      <c r="C97" s="130"/>
      <c r="D97" s="130"/>
      <c r="E97" s="130"/>
      <c r="F97" s="130"/>
      <c r="G97" s="82"/>
      <c r="H97" s="123"/>
      <c r="I97" s="123"/>
      <c r="J97" s="123"/>
    </row>
    <row r="98" spans="1:15" s="145" customFormat="1" ht="93" customHeight="1">
      <c r="A98" s="228" t="s">
        <v>51</v>
      </c>
      <c r="B98" s="228"/>
      <c r="C98" s="228"/>
      <c r="D98" s="228"/>
      <c r="E98" s="228"/>
      <c r="F98" s="228"/>
      <c r="G98" s="228"/>
      <c r="H98" s="228"/>
      <c r="I98" s="131"/>
      <c r="J98" s="131"/>
      <c r="K98" s="131"/>
      <c r="L98" s="131"/>
    </row>
    <row r="99" spans="1:15" ht="66" customHeight="1">
      <c r="A99" s="229" t="s">
        <v>52</v>
      </c>
      <c r="B99" s="229"/>
      <c r="C99" s="229"/>
      <c r="D99" s="229"/>
      <c r="E99" s="229"/>
      <c r="F99" s="229"/>
      <c r="G99" s="229"/>
      <c r="H99" s="229"/>
      <c r="I99" s="132"/>
      <c r="J99" s="132"/>
      <c r="K99" s="132"/>
      <c r="L99" s="132"/>
      <c r="M99" s="132"/>
      <c r="N99" s="132"/>
      <c r="O99" s="132"/>
    </row>
    <row r="100" spans="1:15">
      <c r="A100" s="133"/>
      <c r="B100" s="133"/>
      <c r="C100" s="133"/>
      <c r="D100" s="133"/>
      <c r="E100" s="133"/>
      <c r="F100" s="133"/>
      <c r="G100" s="133"/>
      <c r="H100" s="133"/>
      <c r="I100" s="133"/>
      <c r="J100" s="133"/>
      <c r="K100" s="133"/>
      <c r="L100" s="133"/>
    </row>
    <row r="101" spans="1:15" ht="15">
      <c r="A101" s="242" t="s">
        <v>176</v>
      </c>
      <c r="B101" s="242"/>
      <c r="C101" s="242"/>
      <c r="D101" s="242"/>
      <c r="E101" s="242"/>
      <c r="F101" s="242"/>
      <c r="G101" s="242"/>
      <c r="H101" s="242"/>
      <c r="I101" s="134"/>
      <c r="J101" s="135"/>
      <c r="K101" s="135"/>
      <c r="L101" s="135"/>
      <c r="M101" s="135"/>
      <c r="N101" s="135"/>
      <c r="O101" s="135"/>
    </row>
    <row r="102" spans="1:15" ht="15">
      <c r="A102" s="242" t="s">
        <v>238</v>
      </c>
      <c r="B102" s="242"/>
      <c r="C102" s="242"/>
      <c r="D102" s="242"/>
      <c r="E102" s="242"/>
      <c r="F102" s="242"/>
      <c r="G102" s="242"/>
      <c r="H102" s="242"/>
      <c r="I102" s="134"/>
      <c r="J102" s="135"/>
      <c r="K102" s="135"/>
      <c r="L102" s="135"/>
      <c r="M102" s="135"/>
      <c r="N102" s="135"/>
      <c r="O102" s="135"/>
    </row>
    <row r="103" spans="1:15" ht="14.25">
      <c r="A103" s="193" t="s">
        <v>233</v>
      </c>
      <c r="B103" s="193"/>
      <c r="C103" s="193"/>
      <c r="D103" s="193"/>
      <c r="E103" s="193"/>
      <c r="F103" s="193"/>
      <c r="G103" s="193"/>
      <c r="H103" s="193"/>
      <c r="I103" s="149"/>
      <c r="J103" s="149"/>
      <c r="K103" s="149"/>
      <c r="L103" s="149"/>
      <c r="M103" s="149"/>
      <c r="N103" s="149"/>
      <c r="O103" s="149"/>
    </row>
    <row r="104" spans="1:15" ht="15">
      <c r="A104" s="182" t="s">
        <v>239</v>
      </c>
      <c r="B104" s="182"/>
      <c r="C104" s="182"/>
      <c r="D104" s="182"/>
      <c r="E104" s="182"/>
      <c r="F104" s="182"/>
      <c r="G104" s="182"/>
      <c r="H104" s="182"/>
      <c r="I104" s="136"/>
      <c r="J104" s="137"/>
      <c r="K104" s="137"/>
      <c r="L104" s="137"/>
      <c r="M104" s="137"/>
      <c r="N104" s="137"/>
      <c r="O104" s="137"/>
    </row>
    <row r="105" spans="1:15" ht="15">
      <c r="A105" s="183" t="s">
        <v>234</v>
      </c>
      <c r="B105" s="183"/>
      <c r="C105" s="183"/>
      <c r="D105" s="183"/>
      <c r="E105" s="183"/>
      <c r="F105" s="183"/>
      <c r="G105" s="183"/>
      <c r="H105" s="183"/>
      <c r="I105" s="138"/>
      <c r="J105" s="139"/>
      <c r="K105" s="139"/>
      <c r="L105" s="139"/>
      <c r="M105" s="139"/>
      <c r="N105" s="139"/>
      <c r="O105" s="139"/>
    </row>
  </sheetData>
  <sheetProtection password="CC5F" sheet="1" objects="1" scenarios="1" selectLockedCells="1" selectUnlockedCells="1"/>
  <mergeCells count="50">
    <mergeCell ref="K77:V77"/>
    <mergeCell ref="C57:G57"/>
    <mergeCell ref="G21:G23"/>
    <mergeCell ref="E5:H7"/>
    <mergeCell ref="B20:F20"/>
    <mergeCell ref="L43:W43"/>
    <mergeCell ref="C59:G59"/>
    <mergeCell ref="C60:G60"/>
    <mergeCell ref="E21:E23"/>
    <mergeCell ref="A21:B23"/>
    <mergeCell ref="A99:H99"/>
    <mergeCell ref="A98:H98"/>
    <mergeCell ref="A1:H1"/>
    <mergeCell ref="A2:H2"/>
    <mergeCell ref="A3:H3"/>
    <mergeCell ref="A17:H17"/>
    <mergeCell ref="A24:B24"/>
    <mergeCell ref="B74:G74"/>
    <mergeCell ref="B68:G68"/>
    <mergeCell ref="A65:H65"/>
    <mergeCell ref="A54:B54"/>
    <mergeCell ref="F21:F23"/>
    <mergeCell ref="C54:G54"/>
    <mergeCell ref="C56:G56"/>
    <mergeCell ref="B92:H92"/>
    <mergeCell ref="A105:H105"/>
    <mergeCell ref="A28:G28"/>
    <mergeCell ref="A31:H31"/>
    <mergeCell ref="A50:H50"/>
    <mergeCell ref="A52:H52"/>
    <mergeCell ref="C33:G33"/>
    <mergeCell ref="A34:B48"/>
    <mergeCell ref="C32:D32"/>
    <mergeCell ref="D21:D23"/>
    <mergeCell ref="H21:H23"/>
    <mergeCell ref="A19:H19"/>
    <mergeCell ref="E32:F32"/>
    <mergeCell ref="C21:C23"/>
    <mergeCell ref="A33:B33"/>
    <mergeCell ref="C42:G42"/>
    <mergeCell ref="A104:H104"/>
    <mergeCell ref="A102:H102"/>
    <mergeCell ref="A101:H101"/>
    <mergeCell ref="A103:H103"/>
    <mergeCell ref="C55:G55"/>
    <mergeCell ref="A55:B60"/>
    <mergeCell ref="A93:H93"/>
    <mergeCell ref="A67:G67"/>
    <mergeCell ref="A63:H63"/>
    <mergeCell ref="A91:H91"/>
  </mergeCells>
  <phoneticPr fontId="11" type="noConversion"/>
  <hyperlinks>
    <hyperlink ref="A103" r:id="rId1" display="blgorod@rambler.ru,"/>
  </hyperlinks>
  <pageMargins left="0.78740157480314965" right="0.78740157480314965" top="0.78740157480314965" bottom="0.82677165354330717" header="0.51181102362204722" footer="0.51181102362204722"/>
  <pageSetup paperSize="9" scale="67" orientation="portrait" verticalDpi="360" r:id="rId2"/>
  <headerFooter alignWithMargins="0"/>
  <rowBreaks count="1" manualBreakCount="1">
    <brk id="6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Основное</vt:lpstr>
      <vt:lpstr>с ОПУ</vt:lpstr>
      <vt:lpstr>Строителей 3</vt:lpstr>
      <vt:lpstr>Строителей 11</vt:lpstr>
      <vt:lpstr>Энергетиков 25</vt:lpstr>
      <vt:lpstr>Энергетиков 27</vt:lpstr>
      <vt:lpstr>Энергетиков 29</vt:lpstr>
      <vt:lpstr>Мира 21</vt:lpstr>
      <vt:lpstr>'Мира 21'!Область_печати</vt:lpstr>
      <vt:lpstr>Основное!Область_печати</vt:lpstr>
      <vt:lpstr>'Строителей 11'!Область_печати</vt:lpstr>
      <vt:lpstr>'Строителей 3'!Область_печати</vt:lpstr>
      <vt:lpstr>'Энергетиков 25'!Область_печати</vt:lpstr>
      <vt:lpstr>'Энергетиков 27'!Область_печати</vt:lpstr>
      <vt:lpstr>'Энергетиков 29'!Область_печати</vt:lpstr>
    </vt:vector>
  </TitlesOfParts>
  <Company>Благоустроенный город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</dc:creator>
  <cp:lastModifiedBy>ооо</cp:lastModifiedBy>
  <cp:lastPrinted>2018-09-11T10:20:08Z</cp:lastPrinted>
  <dcterms:created xsi:type="dcterms:W3CDTF">2011-03-16T07:53:38Z</dcterms:created>
  <dcterms:modified xsi:type="dcterms:W3CDTF">2019-04-01T05:43:25Z</dcterms:modified>
</cp:coreProperties>
</file>