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9210" tabRatio="950" firstSheet="3" activeTab="3"/>
  </bookViews>
  <sheets>
    <sheet name="Основное" sheetId="4" r:id="rId1"/>
    <sheet name="Пожарка" sheetId="62" r:id="rId2"/>
    <sheet name="Промывка" sheetId="63" r:id="rId3"/>
    <sheet name="Энергетиков 53" sheetId="48" r:id="rId4"/>
  </sheets>
  <definedNames>
    <definedName name="_xlnm.Print_Area" localSheetId="0">Основное!$A$1:$J$30</definedName>
    <definedName name="_xlnm.Print_Area" localSheetId="3">'Энергетиков 53'!$A$1:$H$98</definedName>
  </definedNames>
  <calcPr calcId="124519"/>
</workbook>
</file>

<file path=xl/calcChain.xml><?xml version="1.0" encoding="utf-8"?>
<calcChain xmlns="http://schemas.openxmlformats.org/spreadsheetml/2006/main">
  <c r="F24" i="48"/>
  <c r="G24"/>
  <c r="H24"/>
  <c r="H43"/>
  <c r="H50"/>
  <c r="H58"/>
  <c r="H60"/>
  <c r="H61"/>
  <c r="H62"/>
  <c r="H64"/>
  <c r="H65"/>
  <c r="H66"/>
  <c r="H67"/>
  <c r="H68"/>
  <c r="H69"/>
  <c r="H71"/>
  <c r="H72"/>
  <c r="H73"/>
  <c r="H74"/>
  <c r="H75"/>
  <c r="H76"/>
  <c r="H77"/>
  <c r="C84"/>
  <c r="D84"/>
  <c r="F84"/>
  <c r="G84"/>
  <c r="B85"/>
  <c r="A2" i="63"/>
  <c r="B2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3"/>
  <c r="B3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B7"/>
  <c r="C7"/>
  <c r="D7"/>
  <c r="F7"/>
  <c r="G7"/>
  <c r="H7"/>
  <c r="K7"/>
  <c r="B8"/>
  <c r="C8"/>
  <c r="D8"/>
  <c r="F8"/>
  <c r="G8"/>
  <c r="H8"/>
  <c r="K8"/>
  <c r="B9"/>
  <c r="C9"/>
  <c r="D9"/>
  <c r="F9"/>
  <c r="G9"/>
  <c r="H9"/>
  <c r="K9"/>
  <c r="B10"/>
  <c r="C10"/>
  <c r="D10"/>
  <c r="F10"/>
  <c r="G10"/>
  <c r="H10"/>
  <c r="K10"/>
  <c r="B11"/>
  <c r="C11"/>
  <c r="D11"/>
  <c r="F11"/>
  <c r="G11"/>
  <c r="H11"/>
  <c r="K11"/>
  <c r="B12"/>
  <c r="C12"/>
  <c r="D12"/>
  <c r="F12"/>
  <c r="G12"/>
  <c r="H12"/>
  <c r="K12"/>
  <c r="B13"/>
  <c r="C13"/>
  <c r="D13"/>
  <c r="F13"/>
  <c r="G13"/>
  <c r="H13"/>
  <c r="K13"/>
  <c r="B14"/>
  <c r="C14"/>
  <c r="D14"/>
  <c r="F14"/>
  <c r="G14"/>
  <c r="H14"/>
  <c r="K14"/>
  <c r="B15"/>
  <c r="C15"/>
  <c r="D15"/>
  <c r="F15"/>
  <c r="G15"/>
  <c r="H15"/>
  <c r="K15"/>
  <c r="B16"/>
  <c r="C16"/>
  <c r="D16"/>
  <c r="F16"/>
  <c r="G16"/>
  <c r="H16"/>
  <c r="K16"/>
  <c r="B17"/>
  <c r="C17"/>
  <c r="D17"/>
  <c r="F17"/>
  <c r="G17"/>
  <c r="H17"/>
  <c r="K17"/>
  <c r="B18"/>
  <c r="C18"/>
  <c r="D18"/>
  <c r="F18"/>
  <c r="G18"/>
  <c r="H18"/>
  <c r="K18"/>
  <c r="B19"/>
  <c r="C19"/>
  <c r="D19"/>
  <c r="F19"/>
  <c r="G19"/>
  <c r="H19"/>
  <c r="K19"/>
  <c r="B20"/>
  <c r="C20"/>
  <c r="D20"/>
  <c r="F20"/>
  <c r="G20"/>
  <c r="H20"/>
  <c r="K20"/>
  <c r="B21"/>
  <c r="C21"/>
  <c r="D21"/>
  <c r="F21"/>
  <c r="G21"/>
  <c r="H21"/>
  <c r="K21"/>
  <c r="B22"/>
  <c r="C22"/>
  <c r="D22"/>
  <c r="F22"/>
  <c r="G22"/>
  <c r="H22"/>
  <c r="K22"/>
  <c r="B23"/>
  <c r="C23"/>
  <c r="D23"/>
  <c r="F23"/>
  <c r="G23"/>
  <c r="H23"/>
  <c r="K23"/>
  <c r="B24"/>
  <c r="C24"/>
  <c r="D24"/>
  <c r="F24"/>
  <c r="G24"/>
  <c r="H24"/>
  <c r="K24"/>
  <c r="B25"/>
  <c r="C25"/>
  <c r="D25"/>
  <c r="F25"/>
  <c r="G25"/>
  <c r="H25"/>
  <c r="K25"/>
  <c r="B26"/>
  <c r="C26"/>
  <c r="D26"/>
  <c r="F26"/>
  <c r="G26"/>
  <c r="H26"/>
  <c r="K26"/>
  <c r="B27"/>
  <c r="C27"/>
  <c r="D27"/>
  <c r="F27"/>
  <c r="G27"/>
  <c r="H27"/>
  <c r="K27"/>
  <c r="B28"/>
  <c r="C28"/>
  <c r="D28"/>
  <c r="F28"/>
  <c r="G28"/>
  <c r="H28"/>
  <c r="K28"/>
  <c r="B29"/>
  <c r="C29"/>
  <c r="D29"/>
  <c r="F29"/>
  <c r="G29"/>
  <c r="H29"/>
  <c r="K29"/>
  <c r="B30"/>
  <c r="C30"/>
  <c r="D30"/>
  <c r="F30"/>
  <c r="G30"/>
  <c r="H30"/>
  <c r="K30"/>
  <c r="B31"/>
  <c r="C31"/>
  <c r="D31"/>
  <c r="F31"/>
  <c r="G31"/>
  <c r="H31"/>
  <c r="K31"/>
  <c r="B32"/>
  <c r="C32"/>
  <c r="D32"/>
  <c r="F32"/>
  <c r="G32"/>
  <c r="H32"/>
  <c r="K32"/>
  <c r="B33"/>
  <c r="C33"/>
  <c r="D33"/>
  <c r="F33"/>
  <c r="G33"/>
  <c r="H33"/>
  <c r="K33"/>
  <c r="B34"/>
  <c r="C34"/>
  <c r="D34"/>
  <c r="F34"/>
  <c r="G34"/>
  <c r="H34"/>
  <c r="K34"/>
  <c r="C35"/>
  <c r="D35"/>
  <c r="G35"/>
  <c r="H35"/>
  <c r="K35"/>
  <c r="I2" i="62"/>
  <c r="C4"/>
  <c r="E10"/>
  <c r="E11"/>
  <c r="D13"/>
  <c r="D14"/>
  <c r="I14"/>
  <c r="C15"/>
  <c r="I15"/>
  <c r="I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C46"/>
  <c r="E2" i="4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G26"/>
  <c r="E27"/>
  <c r="E28"/>
  <c r="E29"/>
  <c r="D30"/>
  <c r="E30"/>
  <c r="F30"/>
  <c r="G30"/>
  <c r="N30"/>
  <c r="I32"/>
  <c r="O32"/>
  <c r="I33"/>
  <c r="I34"/>
  <c r="I35"/>
  <c r="I36"/>
  <c r="K36"/>
  <c r="I37"/>
  <c r="I38"/>
  <c r="J38"/>
  <c r="I39"/>
  <c r="J39"/>
  <c r="I40"/>
  <c r="I41"/>
  <c r="I42"/>
  <c r="I43"/>
  <c r="I44"/>
  <c r="I45"/>
  <c r="H47"/>
  <c r="I47"/>
  <c r="F58"/>
  <c r="G58"/>
  <c r="I58" s="1"/>
  <c r="I86" s="1"/>
  <c r="J58"/>
  <c r="J86" s="1"/>
  <c r="F59"/>
  <c r="G59"/>
  <c r="J59"/>
  <c r="F60"/>
  <c r="G60"/>
  <c r="J60"/>
  <c r="F61"/>
  <c r="I61" s="1"/>
  <c r="G61"/>
  <c r="J61"/>
  <c r="F62"/>
  <c r="G62"/>
  <c r="K62" s="1"/>
  <c r="M62" s="1"/>
  <c r="N62" s="1"/>
  <c r="J62"/>
  <c r="F63"/>
  <c r="G63"/>
  <c r="J63"/>
  <c r="F64"/>
  <c r="G64"/>
  <c r="K64" s="1"/>
  <c r="M64" s="1"/>
  <c r="N64" s="1"/>
  <c r="J64"/>
  <c r="F65"/>
  <c r="I65" s="1"/>
  <c r="G65"/>
  <c r="J65"/>
  <c r="F66"/>
  <c r="G66"/>
  <c r="K66" s="1"/>
  <c r="M66" s="1"/>
  <c r="N66" s="1"/>
  <c r="J66"/>
  <c r="F67"/>
  <c r="G67"/>
  <c r="J67"/>
  <c r="F68"/>
  <c r="G68"/>
  <c r="K68" s="1"/>
  <c r="M68" s="1"/>
  <c r="N68" s="1"/>
  <c r="J68"/>
  <c r="F69"/>
  <c r="G69"/>
  <c r="J69"/>
  <c r="F70"/>
  <c r="G70"/>
  <c r="K70" s="1"/>
  <c r="M70" s="1"/>
  <c r="N70" s="1"/>
  <c r="J70"/>
  <c r="F71"/>
  <c r="G71"/>
  <c r="J71"/>
  <c r="F72"/>
  <c r="G72"/>
  <c r="K72" s="1"/>
  <c r="M72" s="1"/>
  <c r="N72" s="1"/>
  <c r="J72"/>
  <c r="F73"/>
  <c r="F86"/>
  <c r="G73"/>
  <c r="I73" s="1"/>
  <c r="J73"/>
  <c r="F74"/>
  <c r="I74" s="1"/>
  <c r="G74"/>
  <c r="J74"/>
  <c r="F75"/>
  <c r="I75"/>
  <c r="G75"/>
  <c r="J75"/>
  <c r="F76"/>
  <c r="G76"/>
  <c r="F77"/>
  <c r="G77"/>
  <c r="I77" s="1"/>
  <c r="J77"/>
  <c r="F78"/>
  <c r="I78" s="1"/>
  <c r="G78"/>
  <c r="J78"/>
  <c r="F79"/>
  <c r="I79"/>
  <c r="G79"/>
  <c r="J79"/>
  <c r="F80"/>
  <c r="G80"/>
  <c r="I80" s="1"/>
  <c r="J80"/>
  <c r="F81"/>
  <c r="I81" s="1"/>
  <c r="G81"/>
  <c r="J81"/>
  <c r="F82"/>
  <c r="I82" s="1"/>
  <c r="G82"/>
  <c r="J82"/>
  <c r="K82" s="1"/>
  <c r="M82" s="1"/>
  <c r="N82" s="1"/>
  <c r="F83"/>
  <c r="I83"/>
  <c r="G83"/>
  <c r="J83"/>
  <c r="K83" s="1"/>
  <c r="M83" s="1"/>
  <c r="N83" s="1"/>
  <c r="F84"/>
  <c r="G84"/>
  <c r="K84" s="1"/>
  <c r="M84" s="1"/>
  <c r="N84" s="1"/>
  <c r="J84"/>
  <c r="F85"/>
  <c r="I85" s="1"/>
  <c r="G85"/>
  <c r="J85"/>
  <c r="K85" s="1"/>
  <c r="M85" s="1"/>
  <c r="N85" s="1"/>
  <c r="E86"/>
  <c r="H86"/>
  <c r="E120"/>
  <c r="J120"/>
  <c r="K120"/>
  <c r="J76"/>
  <c r="K81"/>
  <c r="M81" s="1"/>
  <c r="N81" s="1"/>
  <c r="K73" l="1"/>
  <c r="M73" s="1"/>
  <c r="N73" s="1"/>
  <c r="I84"/>
  <c r="K80"/>
  <c r="M80" s="1"/>
  <c r="N80" s="1"/>
  <c r="K79"/>
  <c r="M79" s="1"/>
  <c r="N79" s="1"/>
  <c r="K78"/>
  <c r="M78" s="1"/>
  <c r="N78" s="1"/>
  <c r="K77"/>
  <c r="M77" s="1"/>
  <c r="N77" s="1"/>
  <c r="K76"/>
  <c r="M76" s="1"/>
  <c r="N76" s="1"/>
  <c r="I76"/>
  <c r="K75"/>
  <c r="M75" s="1"/>
  <c r="N75" s="1"/>
  <c r="K74"/>
  <c r="M74" s="1"/>
  <c r="N74" s="1"/>
  <c r="K65"/>
  <c r="M65" s="1"/>
  <c r="N65" s="1"/>
  <c r="I72"/>
  <c r="I71"/>
  <c r="K71"/>
  <c r="M71" s="1"/>
  <c r="N71" s="1"/>
  <c r="K61"/>
  <c r="M61" s="1"/>
  <c r="N61" s="1"/>
  <c r="I60"/>
  <c r="I70"/>
  <c r="K69"/>
  <c r="M69" s="1"/>
  <c r="N69" s="1"/>
  <c r="I69"/>
  <c r="K67"/>
  <c r="M67" s="1"/>
  <c r="N67" s="1"/>
  <c r="I68"/>
  <c r="I67"/>
  <c r="I66"/>
  <c r="I64"/>
  <c r="K63"/>
  <c r="M63" s="1"/>
  <c r="N63" s="1"/>
  <c r="I63"/>
  <c r="I62"/>
  <c r="K58"/>
  <c r="M58" s="1"/>
  <c r="N58" s="1"/>
  <c r="K60"/>
  <c r="M60" s="1"/>
  <c r="N60" s="1"/>
  <c r="I59"/>
  <c r="K59"/>
  <c r="M59" s="1"/>
  <c r="N59" s="1"/>
  <c r="M86" l="1"/>
  <c r="K86"/>
</calcChain>
</file>

<file path=xl/comments1.xml><?xml version="1.0" encoding="utf-8"?>
<comments xmlns="http://schemas.openxmlformats.org/spreadsheetml/2006/main">
  <authors>
    <author>Smeta</author>
    <author>1379</author>
    <author>1</author>
  </authors>
  <commentList>
    <comment ref="G32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 отчёт-материалы повышающий- материалы разнесённые по домам
=3627015-809678,89-985794-1650-13420-70210-472242</t>
        </r>
      </text>
    </comment>
    <comment ref="H32" authorId="1">
      <text>
        <r>
          <rPr>
            <b/>
            <sz val="9"/>
            <color indexed="81"/>
            <rFont val="Tahoma"/>
            <family val="2"/>
            <charset val="204"/>
          </rPr>
          <t>24597- жеваньон
46000- окна в офис в счёт аренды</t>
        </r>
      </text>
    </comment>
    <comment ref="K32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 (веники,канцтовары…)</t>
        </r>
      </text>
    </comment>
    <comment ref="G33" authorId="1">
      <text>
        <r>
          <rPr>
            <b/>
            <sz val="9"/>
            <color indexed="81"/>
            <rFont val="Tahoma"/>
            <family val="2"/>
            <charset val="204"/>
          </rPr>
          <t>покос</t>
        </r>
      </text>
    </comment>
    <comment ref="K33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M33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O33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G34" authorId="1">
      <text>
        <r>
          <rPr>
            <b/>
            <sz val="9"/>
            <color indexed="81"/>
            <rFont val="Tahoma"/>
            <family val="2"/>
            <charset val="204"/>
          </rPr>
          <t>Догадаев
звягинцев
чаусов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H3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отняла Энерг.53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8" authorId="2">
      <text>
        <r>
          <rPr>
            <sz val="8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H39" authorId="2">
      <text>
        <r>
          <rPr>
            <b/>
            <sz val="8"/>
            <color indexed="81"/>
            <rFont val="Tahoma"/>
            <family val="2"/>
            <charset val="204"/>
          </rPr>
          <t>страхование лифтов, курсклифт электроизмер. Работы, обучение</t>
        </r>
      </text>
    </comment>
    <comment ref="G42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зп - дымоуд.
</t>
        </r>
      </text>
    </comment>
  </commentList>
</comments>
</file>

<file path=xl/comments2.xml><?xml version="1.0" encoding="utf-8"?>
<comments xmlns="http://schemas.openxmlformats.org/spreadsheetml/2006/main">
  <authors>
    <author>1379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адс пожарка
</t>
        </r>
      </text>
    </comment>
  </commentList>
</comments>
</file>

<file path=xl/comments3.xml><?xml version="1.0" encoding="utf-8"?>
<comments xmlns="http://schemas.openxmlformats.org/spreadsheetml/2006/main">
  <authors>
    <author>1379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кровля мат.+796+ дымоуд.мат.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>промывка, кровля зпл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<sst xmlns="http://schemas.openxmlformats.org/spreadsheetml/2006/main" count="321" uniqueCount="195">
  <si>
    <t xml:space="preserve">ремонт электрооборудования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</si>
  <si>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</si>
  <si>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t>Общая площадь дома - 8191,10 кв. м</t>
  </si>
  <si>
    <t>Доходы полученные от размещения рекламы и предоставления места под аренду в многоквартирном доме №53 по ул.Энергетиков представлены в таблице №5</t>
  </si>
  <si>
    <t>Обслуживание ОПУ по ГВС, ХВС</t>
  </si>
  <si>
    <t>Антена         Теле 2</t>
  </si>
  <si>
    <t xml:space="preserve"> об исполнении договора управления жилым домом №53 по ул.Энергетиков</t>
  </si>
  <si>
    <t>Общая площадь квартир -6225,33 кв.м.</t>
  </si>
  <si>
    <t>Перечень выполненных работ</t>
  </si>
  <si>
    <t>Работы по ремонту инженерного оборудования и других видов по содержанию общего имущества многоквартирного дома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</si>
  <si>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</si>
  <si>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</si>
  <si>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Переченьвыполненных работ</t>
  </si>
  <si>
    <t>Принят в управление - ноябрь 2008 г.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</si>
  <si>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</si>
  <si>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</si>
  <si>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</si>
  <si>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</si>
  <si>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</si>
  <si>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</si>
  <si>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</si>
  <si>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</si>
  <si>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</si>
  <si>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Прочие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</si>
  <si>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</si>
  <si>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</si>
  <si>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</si>
  <si>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</si>
  <si>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</si>
  <si>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</si>
  <si>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- 1</t>
  </si>
  <si>
    <t>Статья</t>
  </si>
  <si>
    <t>ИТОГО:</t>
  </si>
  <si>
    <t>Всего расходов</t>
  </si>
  <si>
    <t>Ст-ть 1м2,руб</t>
  </si>
  <si>
    <t>площадь</t>
  </si>
  <si>
    <t>Начисление на зарплату</t>
  </si>
  <si>
    <t>Налоги</t>
  </si>
  <si>
    <t>Аренда произв.помещений</t>
  </si>
  <si>
    <t xml:space="preserve">Дератизация,дезинфекция 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</si>
  <si>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</si>
  <si>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</si>
  <si>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</si>
  <si>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</si>
  <si>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</si>
  <si>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Тех. освидетельствование , страхование лифтов</t>
  </si>
  <si>
    <r>
      <t>Строителей, 3</t>
    </r>
    <r>
      <rPr>
        <sz val="11"/>
        <rFont val="Times New Roman"/>
        <family val="1"/>
        <charset val="204"/>
      </rPr>
      <t xml:space="preserve"> </t>
    </r>
  </si>
  <si>
    <t xml:space="preserve">Строителей, 11 </t>
  </si>
  <si>
    <r>
      <t>Энергетиков, 25</t>
    </r>
    <r>
      <rPr>
        <sz val="11"/>
        <rFont val="Times New Roman"/>
        <family val="1"/>
        <charset val="204"/>
      </rPr>
      <t xml:space="preserve">  </t>
    </r>
    <r>
      <rPr>
        <i/>
        <sz val="8"/>
        <rFont val="Times New Roman"/>
        <family val="1"/>
        <charset val="204"/>
      </rPr>
      <t/>
    </r>
  </si>
  <si>
    <t xml:space="preserve">Энергетиков, 27  </t>
  </si>
  <si>
    <t xml:space="preserve">Энергетиков, 29 </t>
  </si>
  <si>
    <r>
      <t>Мира, 1</t>
    </r>
    <r>
      <rPr>
        <sz val="11"/>
        <rFont val="Times New Roman"/>
        <family val="1"/>
        <charset val="204"/>
      </rPr>
      <t xml:space="preserve"> </t>
    </r>
  </si>
  <si>
    <r>
      <t>Мира, 2</t>
    </r>
    <r>
      <rPr>
        <sz val="11"/>
        <rFont val="Times New Roman"/>
        <family val="1"/>
        <charset val="204"/>
      </rPr>
      <t xml:space="preserve"> </t>
    </r>
  </si>
  <si>
    <r>
      <t>Мира, 6</t>
    </r>
    <r>
      <rPr>
        <sz val="11"/>
        <rFont val="Times New Roman"/>
        <family val="1"/>
        <charset val="204"/>
      </rPr>
      <t xml:space="preserve">  </t>
    </r>
  </si>
  <si>
    <r>
      <t>Энергетиков, 31</t>
    </r>
    <r>
      <rPr>
        <sz val="11"/>
        <rFont val="Times New Roman"/>
        <family val="1"/>
        <charset val="204"/>
      </rPr>
      <t xml:space="preserve"> </t>
    </r>
  </si>
  <si>
    <t xml:space="preserve">Энергетиков, 33 </t>
  </si>
  <si>
    <t xml:space="preserve">Энергетиков, 35 </t>
  </si>
  <si>
    <t xml:space="preserve">Энергетиков, 39  </t>
  </si>
  <si>
    <t>Энергетиков, 41</t>
  </si>
  <si>
    <t xml:space="preserve">Энергетиков, 45 </t>
  </si>
  <si>
    <r>
      <t>Энергетиков, 51</t>
    </r>
    <r>
      <rPr>
        <b/>
        <sz val="8"/>
        <color indexed="8"/>
        <rFont val="Times New Roman"/>
        <family val="1"/>
        <charset val="204"/>
      </rPr>
      <t/>
    </r>
  </si>
  <si>
    <t xml:space="preserve">Энергетиков, 53 </t>
  </si>
  <si>
    <t xml:space="preserve">Мира, 5  </t>
  </si>
  <si>
    <t xml:space="preserve">Мира, 9 </t>
  </si>
  <si>
    <t>Мира, 16</t>
  </si>
  <si>
    <t xml:space="preserve">Мира, 17 </t>
  </si>
  <si>
    <t xml:space="preserve">Мира,21 </t>
  </si>
  <si>
    <r>
      <t>Садовая, 3</t>
    </r>
    <r>
      <rPr>
        <i/>
        <sz val="11"/>
        <color indexed="8"/>
        <rFont val="Times New Roman"/>
        <family val="1"/>
        <charset val="204"/>
      </rPr>
      <t xml:space="preserve">  </t>
    </r>
  </si>
  <si>
    <t xml:space="preserve">Садовая, 5  </t>
  </si>
  <si>
    <t xml:space="preserve">Садовая, 7 </t>
  </si>
  <si>
    <r>
      <t>Садовая,  7А</t>
    </r>
    <r>
      <rPr>
        <sz val="11"/>
        <rFont val="Times New Roman"/>
        <family val="1"/>
        <charset val="204"/>
      </rPr>
      <t xml:space="preserve">  </t>
    </r>
  </si>
  <si>
    <t xml:space="preserve">Садовая,  9 </t>
  </si>
  <si>
    <t>Садовая,  9А</t>
  </si>
  <si>
    <t xml:space="preserve">Садовая, 17 </t>
  </si>
  <si>
    <t>Управляющая организация ООО "Благоустроенный город"</t>
  </si>
  <si>
    <t>Нормативная численность обслуживающего персонала  - 2,6 чел</t>
  </si>
  <si>
    <t>Количество этажей - 16</t>
  </si>
  <si>
    <t>Количество квартир - 128</t>
  </si>
  <si>
    <t>Площадь подъезда - 1702,5 кв. м</t>
  </si>
  <si>
    <t xml:space="preserve">Адрес дома - Энергетиков 53 </t>
  </si>
  <si>
    <t>Площадь подвала - 514,9 кв. м</t>
  </si>
  <si>
    <t>Площадь кровли - 631 кв. м</t>
  </si>
  <si>
    <t>Площадь газона - 126 кв. м</t>
  </si>
  <si>
    <t>в т.ч:</t>
  </si>
  <si>
    <t xml:space="preserve"> - текущий ремонт </t>
  </si>
  <si>
    <t xml:space="preserve"> - содержание лифтов </t>
  </si>
  <si>
    <t>2,91 руб/м²</t>
  </si>
  <si>
    <t xml:space="preserve"> - содержание </t>
  </si>
  <si>
    <t>Таблица №1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</si>
  <si>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</si>
  <si>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</si>
  <si>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</si>
  <si>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</si>
  <si>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</si>
  <si>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№4</t>
  </si>
  <si>
    <t>Таблица №5</t>
  </si>
  <si>
    <t xml:space="preserve">ИП Шишкин </t>
  </si>
  <si>
    <t xml:space="preserve">эл. почта:blgorod@rambler.ru 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</si>
  <si>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</si>
  <si>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Отчет ООО "Благоустроенный город"</t>
  </si>
  <si>
    <t>по вопросам обращаться по телефону ЖЭУ 4-07-05, 4-16-22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</si>
  <si>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</si>
  <si>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ул.Энергетиков д.53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</si>
  <si>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</si>
  <si>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</si>
  <si>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ремонт сантехнического оборудования</t>
  </si>
  <si>
    <t>Нэт Бай Нэт Холдинг</t>
  </si>
  <si>
    <t>ООО "Лифтборт"</t>
  </si>
  <si>
    <t>Транспортные расходы на перевозку материалов</t>
  </si>
  <si>
    <t>5</t>
  </si>
  <si>
    <t>Дератизация,дезинфекция мест общего пользования</t>
  </si>
  <si>
    <t>Транспортные услуги по доставке материалов</t>
  </si>
  <si>
    <t>3</t>
  </si>
  <si>
    <t>4</t>
  </si>
  <si>
    <t>6</t>
  </si>
  <si>
    <t>7</t>
  </si>
  <si>
    <t>8</t>
  </si>
  <si>
    <t>9</t>
  </si>
  <si>
    <t xml:space="preserve">Аренда мус. камеры Самойлова, аренда отмостки ООО "Санива", ломбард </t>
  </si>
  <si>
    <t>Сумма всех материалов по актам</t>
  </si>
  <si>
    <t>Начисления на з/пл (30,2%)</t>
  </si>
  <si>
    <t>2,06 руб/м²</t>
  </si>
  <si>
    <t>Материалы, в т.ч.:</t>
  </si>
  <si>
    <t>ремонт общестроительный, ремонт кровли</t>
  </si>
  <si>
    <t>Начислено по статье содержание и текущий ремонт, руб.</t>
  </si>
  <si>
    <t>Израсходовано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</si>
  <si>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</si>
  <si>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</si>
  <si>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</si>
  <si>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Остаток денежных средств на лицевом счете дома по статье содержание и текущий ремонт на конец периода, руб.</t>
  </si>
  <si>
    <t>Услуги ЕИРКЦ  3,2%</t>
  </si>
  <si>
    <t>з/п дымоудаление+ 30,2</t>
  </si>
  <si>
    <t>Обслуживание системы пожарной сигнализации и дымоудаления</t>
  </si>
  <si>
    <t>Строителей 3</t>
  </si>
  <si>
    <t>Строителей 11</t>
  </si>
  <si>
    <t>Энергетиков 25</t>
  </si>
  <si>
    <t>Энергетиков 27</t>
  </si>
  <si>
    <t>Энергетиков 29</t>
  </si>
  <si>
    <t>Энергетиков 31</t>
  </si>
  <si>
    <t>Энергетиков 33</t>
  </si>
  <si>
    <t>Энергетиков 35</t>
  </si>
  <si>
    <t>Энергетиков 39</t>
  </si>
  <si>
    <t>Энергетиков 41</t>
  </si>
  <si>
    <t>Энергетиков 45</t>
  </si>
  <si>
    <t>Энергетиков 51</t>
  </si>
  <si>
    <t>Энергетиков 53</t>
  </si>
  <si>
    <t>Мира    1</t>
  </si>
  <si>
    <t>Мира   2</t>
  </si>
  <si>
    <t>Мира   6</t>
  </si>
  <si>
    <t>Мира   5</t>
  </si>
  <si>
    <t>Мира   9</t>
  </si>
  <si>
    <t>Мира    16</t>
  </si>
  <si>
    <t>Мира    17</t>
  </si>
  <si>
    <t>Мира   21</t>
  </si>
  <si>
    <t>Садовая 3</t>
  </si>
  <si>
    <t>Садовая 5</t>
  </si>
  <si>
    <t>Садовая 7</t>
  </si>
  <si>
    <t>Садовая 7а</t>
  </si>
  <si>
    <t>Садовая 9</t>
  </si>
  <si>
    <t>Садовая 9а</t>
  </si>
  <si>
    <t>Садовая 17</t>
  </si>
  <si>
    <t>Договора оказания услуг по содержанию и выполнению работ по текущему ремонту общего имущества в МКД</t>
  </si>
  <si>
    <t>Витязь</t>
  </si>
  <si>
    <t>Рентабельность 3%</t>
  </si>
  <si>
    <t>Сводная таблица за 2019 год</t>
  </si>
  <si>
    <t xml:space="preserve">Ростелеком, МТС </t>
  </si>
  <si>
    <t>Ремонт охранно-пожарной сигнализации</t>
  </si>
  <si>
    <t>Смена вентилей,внутр.трубопровода и т.д.</t>
  </si>
  <si>
    <t xml:space="preserve">Ремонт кровли 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</si>
  <si>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 xml:space="preserve">19,09 руб/м², </t>
    </r>
  </si>
  <si>
    <t>14,12 руб/м²</t>
  </si>
  <si>
    <t>Промывка</t>
  </si>
  <si>
    <t>Вымпел-Коммуникации, МТС</t>
  </si>
  <si>
    <t>Начислено</t>
  </si>
  <si>
    <t>Оплачено</t>
  </si>
  <si>
    <t>Остаток ден.ср-в на счете</t>
  </si>
  <si>
    <t>за 2020г.</t>
  </si>
  <si>
    <t>на начало 2022 года</t>
  </si>
  <si>
    <t>доля ТР остаток на начало 2022г</t>
  </si>
  <si>
    <t>Сводная таблица за 2021 год</t>
  </si>
  <si>
    <t xml:space="preserve">за период: 2022 г. </t>
  </si>
  <si>
    <t>Движение денежных средств по статье содержание и текущий ремонт за 2022г.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</si>
  <si>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</si>
  <si>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Информация по начислению и оплате за капитальный ремонт за 2022г.</t>
  </si>
  <si>
    <t xml:space="preserve">В 2022 году были произведены следующие виды работ по текущему ремонту   (Таблица №2). </t>
  </si>
  <si>
    <t xml:space="preserve">Общестроительные работы </t>
  </si>
  <si>
    <t>ИП Квасова</t>
  </si>
  <si>
    <t>В таблице №1 приведено движение денежных средств по статье содержание и текущий ремонт  по лицевому счету дома №53 по ул.Энергетиков за 2022г.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</si>
  <si>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-28 314 руб.</t>
  </si>
  <si>
    <r>
      <t xml:space="preserve">Задолженность населения за жку на 31.12.2022г. составляет 167 121,51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</si>
  <si>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ходе плановых осмотров, а также на основании обращений собственников помещений жилого дома №53 по ул.Энергетиков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</si>
  <si>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Денежные средства за аренду общего имущества за 2022г.</t>
  </si>
  <si>
    <t>Уст-ка светильников, замена авт. выключателей, проводов</t>
  </si>
  <si>
    <t>Выполнены работы по установке и монтажу оконных и дверных блоков ПВХ на сумму 151 000 руб. ООО "РЕГИОН-ТРАНС" по договору №9732 от 22.02.2022г.</t>
  </si>
  <si>
    <t>Выполнены работы по поставке и установке оконных и балконных блоков ПВХ на общую сумму 344 000 руб. ИП Рязанцевым по договорам №4364/154 от 02.09.2022г., №6368/170 от 27.10.2022г., №6825/186 от 19.12.2022г.</t>
  </si>
</sst>
</file>

<file path=xl/styles.xml><?xml version="1.0" encoding="utf-8"?>
<styleSheet xmlns="http://schemas.openxmlformats.org/spreadsheetml/2006/main">
  <numFmts count="1">
    <numFmt numFmtId="172" formatCode="0.0"/>
  </numFmts>
  <fonts count="66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u/>
      <sz val="11"/>
      <name val="Arial Cyr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8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indexed="17"/>
      <name val="Arial"/>
      <family val="2"/>
      <charset val="204"/>
    </font>
    <font>
      <sz val="14"/>
      <name val="Arial Cyr"/>
      <charset val="204"/>
    </font>
    <font>
      <b/>
      <sz val="18"/>
      <name val="Arial Cyr"/>
      <charset val="204"/>
    </font>
    <font>
      <b/>
      <sz val="14"/>
      <name val="Arial Cyr"/>
      <charset val="204"/>
    </font>
    <font>
      <sz val="14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" fillId="0" borderId="0">
      <alignment horizontal="left"/>
    </xf>
  </cellStyleXfs>
  <cellXfs count="265">
    <xf numFmtId="0" fontId="0" fillId="0" borderId="0" xfId="0"/>
    <xf numFmtId="0" fontId="0" fillId="0" borderId="2" xfId="0" applyBorder="1" applyAlignment="1">
      <alignment wrapText="1"/>
    </xf>
    <xf numFmtId="0" fontId="0" fillId="0" borderId="2" xfId="0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Fill="1" applyBorder="1"/>
    <xf numFmtId="0" fontId="12" fillId="0" borderId="2" xfId="0" applyFont="1" applyBorder="1" applyAlignment="1"/>
    <xf numFmtId="0" fontId="13" fillId="0" borderId="2" xfId="0" applyFont="1" applyBorder="1"/>
    <xf numFmtId="2" fontId="1" fillId="0" borderId="2" xfId="0" applyNumberFormat="1" applyFont="1" applyBorder="1" applyAlignment="1"/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/>
    <xf numFmtId="0" fontId="15" fillId="2" borderId="2" xfId="0" applyFont="1" applyFill="1" applyBorder="1" applyAlignment="1">
      <alignment horizontal="justify" vertical="top" wrapText="1"/>
    </xf>
    <xf numFmtId="0" fontId="15" fillId="2" borderId="2" xfId="0" applyFont="1" applyFill="1" applyBorder="1" applyAlignment="1">
      <alignment vertical="top" wrapText="1"/>
    </xf>
    <xf numFmtId="3" fontId="21" fillId="0" borderId="0" xfId="0" applyNumberFormat="1" applyFont="1"/>
    <xf numFmtId="1" fontId="0" fillId="0" borderId="0" xfId="0" applyNumberFormat="1"/>
    <xf numFmtId="2" fontId="12" fillId="0" borderId="2" xfId="0" applyNumberFormat="1" applyFont="1" applyBorder="1" applyAlignment="1">
      <alignment wrapText="1"/>
    </xf>
    <xf numFmtId="2" fontId="14" fillId="0" borderId="2" xfId="0" applyNumberFormat="1" applyFont="1" applyBorder="1"/>
    <xf numFmtId="2" fontId="12" fillId="0" borderId="2" xfId="0" applyNumberFormat="1" applyFont="1" applyBorder="1"/>
    <xf numFmtId="2" fontId="0" fillId="0" borderId="0" xfId="0" applyNumberFormat="1"/>
    <xf numFmtId="1" fontId="12" fillId="0" borderId="2" xfId="0" applyNumberFormat="1" applyFont="1" applyBorder="1" applyAlignment="1">
      <alignment horizontal="center" wrapText="1"/>
    </xf>
    <xf numFmtId="1" fontId="15" fillId="2" borderId="2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13" fillId="0" borderId="0" xfId="0" applyFont="1" applyBorder="1"/>
    <xf numFmtId="0" fontId="13" fillId="0" borderId="0" xfId="0" applyFont="1" applyFill="1" applyBorder="1"/>
    <xf numFmtId="0" fontId="12" fillId="0" borderId="0" xfId="0" applyFont="1" applyBorder="1"/>
    <xf numFmtId="0" fontId="27" fillId="0" borderId="0" xfId="0" applyFont="1"/>
    <xf numFmtId="1" fontId="27" fillId="0" borderId="0" xfId="0" applyNumberFormat="1" applyFont="1" applyAlignment="1">
      <alignment horizontal="center"/>
    </xf>
    <xf numFmtId="1" fontId="27" fillId="0" borderId="0" xfId="0" applyNumberFormat="1" applyFont="1"/>
    <xf numFmtId="0" fontId="27" fillId="0" borderId="2" xfId="0" applyFont="1" applyBorder="1"/>
    <xf numFmtId="0" fontId="28" fillId="0" borderId="2" xfId="0" applyFont="1" applyBorder="1"/>
    <xf numFmtId="0" fontId="28" fillId="0" borderId="2" xfId="0" applyFont="1" applyBorder="1" applyAlignment="1">
      <alignment wrapText="1"/>
    </xf>
    <xf numFmtId="0" fontId="28" fillId="0" borderId="2" xfId="0" applyFont="1" applyBorder="1" applyAlignment="1"/>
    <xf numFmtId="0" fontId="27" fillId="0" borderId="2" xfId="0" applyFont="1" applyBorder="1" applyAlignment="1">
      <alignment horizontal="center"/>
    </xf>
    <xf numFmtId="1" fontId="27" fillId="0" borderId="2" xfId="0" applyNumberFormat="1" applyFont="1" applyBorder="1"/>
    <xf numFmtId="2" fontId="27" fillId="0" borderId="2" xfId="0" applyNumberFormat="1" applyFont="1" applyBorder="1" applyAlignment="1"/>
    <xf numFmtId="1" fontId="27" fillId="0" borderId="2" xfId="0" applyNumberFormat="1" applyFont="1" applyBorder="1" applyAlignment="1"/>
    <xf numFmtId="1" fontId="28" fillId="0" borderId="2" xfId="0" applyNumberFormat="1" applyFont="1" applyBorder="1"/>
    <xf numFmtId="2" fontId="28" fillId="0" borderId="2" xfId="0" applyNumberFormat="1" applyFont="1" applyBorder="1" applyAlignment="1"/>
    <xf numFmtId="0" fontId="7" fillId="0" borderId="0" xfId="3" applyFont="1" applyAlignment="1"/>
    <xf numFmtId="0" fontId="27" fillId="0" borderId="0" xfId="0" applyFont="1" applyAlignment="1">
      <alignment horizontal="center"/>
    </xf>
    <xf numFmtId="2" fontId="0" fillId="0" borderId="2" xfId="0" applyNumberFormat="1" applyBorder="1"/>
    <xf numFmtId="1" fontId="0" fillId="0" borderId="0" xfId="0" applyNumberFormat="1" applyBorder="1" applyAlignment="1">
      <alignment horizontal="center"/>
    </xf>
    <xf numFmtId="2" fontId="27" fillId="0" borderId="2" xfId="0" applyNumberFormat="1" applyFont="1" applyBorder="1"/>
    <xf numFmtId="1" fontId="63" fillId="0" borderId="2" xfId="0" applyNumberFormat="1" applyFont="1" applyBorder="1"/>
    <xf numFmtId="0" fontId="64" fillId="3" borderId="3" xfId="3" applyFont="1" applyFill="1" applyBorder="1" applyAlignment="1"/>
    <xf numFmtId="0" fontId="29" fillId="3" borderId="0" xfId="3" applyFont="1" applyFill="1" applyAlignment="1">
      <alignment vertical="center"/>
    </xf>
    <xf numFmtId="0" fontId="29" fillId="3" borderId="0" xfId="3" applyFont="1" applyFill="1" applyAlignment="1"/>
    <xf numFmtId="0" fontId="30" fillId="3" borderId="0" xfId="3" applyFont="1" applyFill="1" applyAlignment="1">
      <alignment wrapText="1"/>
    </xf>
    <xf numFmtId="0" fontId="31" fillId="3" borderId="0" xfId="3" applyFont="1" applyFill="1" applyAlignment="1"/>
    <xf numFmtId="0" fontId="31" fillId="3" borderId="0" xfId="3" applyFont="1" applyFill="1" applyAlignment="1">
      <alignment wrapText="1"/>
    </xf>
    <xf numFmtId="0" fontId="14" fillId="3" borderId="0" xfId="0" applyFont="1" applyFill="1"/>
    <xf numFmtId="0" fontId="31" fillId="3" borderId="0" xfId="3" applyFont="1" applyFill="1" applyAlignment="1">
      <alignment horizontal="left" wrapText="1"/>
    </xf>
    <xf numFmtId="0" fontId="27" fillId="3" borderId="0" xfId="3" applyFont="1" applyFill="1" applyAlignment="1"/>
    <xf numFmtId="0" fontId="32" fillId="3" borderId="0" xfId="3" applyFont="1" applyFill="1" applyAlignment="1"/>
    <xf numFmtId="0" fontId="27" fillId="3" borderId="0" xfId="3" applyFont="1" applyFill="1">
      <alignment horizontal="left"/>
    </xf>
    <xf numFmtId="0" fontId="21" fillId="3" borderId="0" xfId="0" applyFont="1" applyFill="1"/>
    <xf numFmtId="0" fontId="4" fillId="3" borderId="0" xfId="3" applyFont="1" applyFill="1">
      <alignment horizontal="left"/>
    </xf>
    <xf numFmtId="0" fontId="4" fillId="3" borderId="0" xfId="3" applyFont="1" applyFill="1" applyAlignment="1"/>
    <xf numFmtId="0" fontId="33" fillId="3" borderId="0" xfId="3" applyFont="1" applyFill="1">
      <alignment horizontal="left"/>
    </xf>
    <xf numFmtId="0" fontId="34" fillId="3" borderId="0" xfId="0" applyFont="1" applyFill="1"/>
    <xf numFmtId="0" fontId="20" fillId="3" borderId="0" xfId="0" applyFont="1" applyFill="1" applyBorder="1" applyAlignment="1">
      <alignment vertical="center" wrapText="1"/>
    </xf>
    <xf numFmtId="2" fontId="14" fillId="3" borderId="0" xfId="0" applyNumberFormat="1" applyFont="1" applyFill="1" applyBorder="1" applyAlignment="1"/>
    <xf numFmtId="2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Alignment="1">
      <alignment horizontal="center"/>
    </xf>
    <xf numFmtId="0" fontId="33" fillId="3" borderId="0" xfId="3" applyFont="1" applyFill="1" applyBorder="1" applyAlignment="1"/>
    <xf numFmtId="0" fontId="14" fillId="3" borderId="0" xfId="0" applyFont="1" applyFill="1" applyBorder="1"/>
    <xf numFmtId="2" fontId="31" fillId="3" borderId="0" xfId="3" applyNumberFormat="1" applyFont="1" applyFill="1" applyBorder="1" applyAlignment="1">
      <alignment horizontal="center"/>
    </xf>
    <xf numFmtId="0" fontId="31" fillId="3" borderId="0" xfId="3" applyFont="1" applyFill="1">
      <alignment horizontal="left"/>
    </xf>
    <xf numFmtId="0" fontId="33" fillId="3" borderId="0" xfId="3" applyFont="1" applyFill="1" applyAlignment="1">
      <alignment horizontal="left"/>
    </xf>
    <xf numFmtId="0" fontId="4" fillId="3" borderId="0" xfId="3" applyFont="1" applyFill="1" applyBorder="1" applyAlignment="1"/>
    <xf numFmtId="0" fontId="6" fillId="3" borderId="0" xfId="3" applyFont="1" applyFill="1" applyBorder="1">
      <alignment horizontal="left"/>
    </xf>
    <xf numFmtId="0" fontId="5" fillId="3" borderId="0" xfId="3" applyFont="1" applyFill="1" applyBorder="1">
      <alignment horizontal="left"/>
    </xf>
    <xf numFmtId="0" fontId="4" fillId="3" borderId="2" xfId="3" applyFont="1" applyFill="1" applyBorder="1" applyAlignment="1">
      <alignment horizontal="center" vertical="center"/>
    </xf>
    <xf numFmtId="0" fontId="7" fillId="3" borderId="0" xfId="3" applyFont="1" applyFill="1" applyAlignment="1"/>
    <xf numFmtId="0" fontId="31" fillId="3" borderId="4" xfId="3" applyFont="1" applyFill="1" applyBorder="1" applyAlignment="1"/>
    <xf numFmtId="1" fontId="22" fillId="3" borderId="2" xfId="3" applyNumberFormat="1" applyFont="1" applyFill="1" applyBorder="1" applyAlignment="1">
      <alignment horizontal="right"/>
    </xf>
    <xf numFmtId="0" fontId="3" fillId="3" borderId="0" xfId="3" applyFont="1" applyFill="1">
      <alignment horizontal="left"/>
    </xf>
    <xf numFmtId="0" fontId="3" fillId="3" borderId="0" xfId="3" applyFont="1" applyFill="1" applyAlignment="1"/>
    <xf numFmtId="0" fontId="4" fillId="3" borderId="0" xfId="3" applyFont="1" applyFill="1" applyAlignment="1">
      <alignment wrapText="1"/>
    </xf>
    <xf numFmtId="0" fontId="33" fillId="3" borderId="0" xfId="3" applyFont="1" applyFill="1" applyAlignment="1">
      <alignment horizontal="center"/>
    </xf>
    <xf numFmtId="0" fontId="5" fillId="3" borderId="0" xfId="3" applyFont="1" applyFill="1" applyAlignment="1">
      <alignment horizontal="left"/>
    </xf>
    <xf numFmtId="1" fontId="31" fillId="3" borderId="2" xfId="3" applyNumberFormat="1" applyFont="1" applyFill="1" applyBorder="1" applyAlignment="1">
      <alignment horizontal="right"/>
    </xf>
    <xf numFmtId="1" fontId="31" fillId="3" borderId="0" xfId="3" applyNumberFormat="1" applyFont="1" applyFill="1" applyBorder="1" applyAlignment="1"/>
    <xf numFmtId="0" fontId="8" fillId="3" borderId="0" xfId="3" applyFont="1" applyFill="1" applyAlignment="1">
      <alignment wrapText="1"/>
    </xf>
    <xf numFmtId="0" fontId="4" fillId="3" borderId="0" xfId="3" applyFont="1" applyFill="1" applyAlignment="1">
      <alignment horizontal="center"/>
    </xf>
    <xf numFmtId="1" fontId="4" fillId="3" borderId="2" xfId="3" applyNumberFormat="1" applyFont="1" applyFill="1" applyBorder="1" applyAlignment="1">
      <alignment horizontal="center"/>
    </xf>
    <xf numFmtId="1" fontId="4" fillId="3" borderId="0" xfId="3" applyNumberFormat="1" applyFont="1" applyFill="1" applyBorder="1" applyAlignment="1"/>
    <xf numFmtId="0" fontId="31" fillId="3" borderId="2" xfId="3" applyFont="1" applyFill="1" applyBorder="1" applyAlignment="1">
      <alignment horizontal="center"/>
    </xf>
    <xf numFmtId="1" fontId="31" fillId="3" borderId="2" xfId="3" applyNumberFormat="1" applyFont="1" applyFill="1" applyBorder="1" applyAlignment="1">
      <alignment horizontal="center"/>
    </xf>
    <xf numFmtId="0" fontId="33" fillId="3" borderId="0" xfId="3" applyFont="1" applyFill="1" applyBorder="1">
      <alignment horizontal="left"/>
    </xf>
    <xf numFmtId="0" fontId="31" fillId="3" borderId="6" xfId="3" applyFont="1" applyFill="1" applyBorder="1" applyAlignment="1">
      <alignment horizontal="center"/>
    </xf>
    <xf numFmtId="0" fontId="31" fillId="3" borderId="3" xfId="3" applyFont="1" applyFill="1" applyBorder="1" applyAlignment="1"/>
    <xf numFmtId="1" fontId="22" fillId="3" borderId="2" xfId="3" applyNumberFormat="1" applyFont="1" applyFill="1" applyBorder="1" applyAlignment="1"/>
    <xf numFmtId="1" fontId="31" fillId="3" borderId="2" xfId="3" applyNumberFormat="1" applyFont="1" applyFill="1" applyBorder="1" applyAlignment="1"/>
    <xf numFmtId="1" fontId="9" fillId="3" borderId="0" xfId="3" applyNumberFormat="1" applyFont="1" applyFill="1" applyBorder="1" applyAlignment="1"/>
    <xf numFmtId="0" fontId="7" fillId="3" borderId="0" xfId="3" applyFont="1" applyFill="1">
      <alignment horizontal="left"/>
    </xf>
    <xf numFmtId="0" fontId="31" fillId="3" borderId="0" xfId="3" applyFont="1" applyFill="1" applyBorder="1" applyAlignment="1">
      <alignment wrapText="1"/>
    </xf>
    <xf numFmtId="0" fontId="9" fillId="3" borderId="0" xfId="3" applyFont="1" applyFill="1" applyBorder="1">
      <alignment horizontal="left"/>
    </xf>
    <xf numFmtId="0" fontId="9" fillId="3" borderId="0" xfId="3" applyFont="1" applyFill="1" applyBorder="1" applyAlignment="1"/>
    <xf numFmtId="0" fontId="5" fillId="3" borderId="0" xfId="3" applyFont="1" applyFill="1" applyBorder="1" applyAlignment="1"/>
    <xf numFmtId="0" fontId="31" fillId="3" borderId="2" xfId="0" applyFont="1" applyFill="1" applyBorder="1" applyAlignment="1">
      <alignment horizontal="center" vertical="center" wrapText="1"/>
    </xf>
    <xf numFmtId="0" fontId="31" fillId="3" borderId="3" xfId="3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wrapText="1"/>
    </xf>
    <xf numFmtId="0" fontId="31" fillId="3" borderId="0" xfId="3" applyFont="1" applyFill="1" applyBorder="1" applyAlignment="1"/>
    <xf numFmtId="2" fontId="33" fillId="3" borderId="0" xfId="3" applyNumberFormat="1" applyFont="1" applyFill="1" applyBorder="1" applyAlignment="1">
      <alignment horizontal="center"/>
    </xf>
    <xf numFmtId="2" fontId="21" fillId="3" borderId="0" xfId="0" applyNumberFormat="1" applyFont="1" applyFill="1" applyBorder="1" applyAlignment="1">
      <alignment vertical="center" wrapText="1"/>
    </xf>
    <xf numFmtId="0" fontId="22" fillId="3" borderId="0" xfId="3" applyFont="1" applyFill="1" applyAlignment="1">
      <alignment wrapText="1"/>
    </xf>
    <xf numFmtId="0" fontId="10" fillId="3" borderId="0" xfId="3" applyFont="1" applyFill="1" applyAlignment="1">
      <alignment horizontal="center" wrapText="1"/>
    </xf>
    <xf numFmtId="0" fontId="22" fillId="3" borderId="0" xfId="3" applyFont="1" applyFill="1" applyAlignment="1"/>
    <xf numFmtId="0" fontId="10" fillId="3" borderId="0" xfId="3" applyFont="1" applyFill="1" applyAlignment="1"/>
    <xf numFmtId="0" fontId="36" fillId="3" borderId="0" xfId="0" applyFont="1" applyFill="1" applyAlignment="1"/>
    <xf numFmtId="0" fontId="25" fillId="3" borderId="0" xfId="0" applyFont="1" applyFill="1" applyAlignment="1"/>
    <xf numFmtId="0" fontId="37" fillId="3" borderId="0" xfId="0" applyFont="1" applyFill="1" applyAlignment="1"/>
    <xf numFmtId="0" fontId="26" fillId="3" borderId="0" xfId="0" applyFont="1" applyFill="1" applyAlignment="1"/>
    <xf numFmtId="0" fontId="20" fillId="3" borderId="0" xfId="0" applyFont="1" applyFill="1"/>
    <xf numFmtId="2" fontId="31" fillId="3" borderId="2" xfId="3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20" fillId="3" borderId="0" xfId="0" applyFont="1" applyFill="1" applyBorder="1"/>
    <xf numFmtId="0" fontId="2" fillId="3" borderId="0" xfId="3" applyFont="1" applyFill="1" applyBorder="1">
      <alignment horizontal="left"/>
    </xf>
    <xf numFmtId="2" fontId="14" fillId="3" borderId="2" xfId="0" applyNumberFormat="1" applyFont="1" applyFill="1" applyBorder="1" applyAlignment="1">
      <alignment horizontal="center" vertical="center" wrapText="1"/>
    </xf>
    <xf numFmtId="2" fontId="44" fillId="3" borderId="0" xfId="1" applyNumberFormat="1" applyFont="1" applyFill="1" applyAlignment="1" applyProtection="1"/>
    <xf numFmtId="1" fontId="20" fillId="3" borderId="0" xfId="0" applyNumberFormat="1" applyFont="1" applyFill="1" applyBorder="1"/>
    <xf numFmtId="0" fontId="20" fillId="3" borderId="0" xfId="0" applyFont="1" applyFill="1" applyBorder="1" applyAlignment="1">
      <alignment horizontal="center" vertical="center" wrapText="1"/>
    </xf>
    <xf numFmtId="1" fontId="31" fillId="3" borderId="0" xfId="3" applyNumberFormat="1" applyFont="1" applyFill="1" applyBorder="1" applyAlignment="1">
      <alignment horizontal="right"/>
    </xf>
    <xf numFmtId="0" fontId="31" fillId="3" borderId="0" xfId="0" applyFont="1" applyFill="1" applyBorder="1" applyAlignment="1">
      <alignment horizontal="center"/>
    </xf>
    <xf numFmtId="2" fontId="22" fillId="3" borderId="0" xfId="3" applyNumberFormat="1" applyFont="1" applyFill="1" applyAlignment="1"/>
    <xf numFmtId="0" fontId="31" fillId="3" borderId="0" xfId="3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7" fillId="0" borderId="2" xfId="0" applyFont="1" applyFill="1" applyBorder="1"/>
    <xf numFmtId="1" fontId="27" fillId="0" borderId="9" xfId="0" applyNumberFormat="1" applyFont="1" applyFill="1" applyBorder="1"/>
    <xf numFmtId="0" fontId="63" fillId="0" borderId="2" xfId="0" applyFont="1" applyBorder="1"/>
    <xf numFmtId="0" fontId="31" fillId="3" borderId="0" xfId="3" applyFont="1" applyFill="1" applyAlignment="1">
      <alignment horizontal="left" wrapText="1"/>
    </xf>
    <xf numFmtId="0" fontId="33" fillId="3" borderId="0" xfId="3" applyFont="1" applyFill="1">
      <alignment horizontal="left"/>
    </xf>
    <xf numFmtId="1" fontId="27" fillId="4" borderId="2" xfId="0" applyNumberFormat="1" applyFont="1" applyFill="1" applyBorder="1"/>
    <xf numFmtId="0" fontId="33" fillId="3" borderId="0" xfId="3" applyFont="1" applyFill="1">
      <alignment horizontal="left"/>
    </xf>
    <xf numFmtId="0" fontId="48" fillId="2" borderId="0" xfId="3" applyFont="1" applyFill="1">
      <alignment horizontal="left"/>
    </xf>
    <xf numFmtId="0" fontId="49" fillId="2" borderId="0" xfId="3" applyFont="1" applyFill="1">
      <alignment horizontal="left"/>
    </xf>
    <xf numFmtId="2" fontId="51" fillId="2" borderId="3" xfId="0" applyNumberFormat="1" applyFont="1" applyFill="1" applyBorder="1" applyAlignment="1">
      <alignment horizontal="center" vertical="center"/>
    </xf>
    <xf numFmtId="0" fontId="46" fillId="2" borderId="3" xfId="3" applyFont="1" applyFill="1" applyBorder="1" applyAlignment="1"/>
    <xf numFmtId="0" fontId="16" fillId="0" borderId="2" xfId="0" applyFont="1" applyBorder="1" applyAlignment="1">
      <alignment horizontal="center" wrapText="1"/>
    </xf>
    <xf numFmtId="0" fontId="54" fillId="0" borderId="2" xfId="0" applyFont="1" applyBorder="1" applyAlignment="1">
      <alignment horizontal="center" wrapText="1"/>
    </xf>
    <xf numFmtId="2" fontId="54" fillId="0" borderId="2" xfId="0" applyNumberFormat="1" applyFont="1" applyBorder="1" applyAlignment="1">
      <alignment horizontal="center" wrapText="1"/>
    </xf>
    <xf numFmtId="0" fontId="16" fillId="0" borderId="2" xfId="3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2" fontId="14" fillId="0" borderId="2" xfId="0" applyNumberFormat="1" applyFont="1" applyBorder="1" applyAlignment="1">
      <alignment vertical="top"/>
    </xf>
    <xf numFmtId="1" fontId="0" fillId="0" borderId="2" xfId="0" applyNumberFormat="1" applyBorder="1" applyAlignment="1">
      <alignment vertical="top"/>
    </xf>
    <xf numFmtId="2" fontId="0" fillId="0" borderId="2" xfId="0" applyNumberFormat="1" applyBorder="1" applyAlignment="1">
      <alignment vertical="top"/>
    </xf>
    <xf numFmtId="2" fontId="53" fillId="0" borderId="2" xfId="0" applyNumberFormat="1" applyFont="1" applyBorder="1" applyAlignment="1">
      <alignment vertical="top"/>
    </xf>
    <xf numFmtId="2" fontId="53" fillId="0" borderId="2" xfId="3" applyNumberFormat="1" applyFont="1" applyBorder="1" applyAlignment="1">
      <alignment vertical="top"/>
    </xf>
    <xf numFmtId="2" fontId="27" fillId="0" borderId="2" xfId="3" applyNumberFormat="1" applyFont="1" applyBorder="1" applyAlignment="1">
      <alignment vertical="top"/>
    </xf>
    <xf numFmtId="2" fontId="27" fillId="0" borderId="2" xfId="3" applyNumberFormat="1" applyFont="1" applyBorder="1" applyAlignment="1"/>
    <xf numFmtId="2" fontId="27" fillId="0" borderId="2" xfId="0" applyNumberFormat="1" applyFont="1" applyBorder="1" applyAlignment="1">
      <alignment vertical="top"/>
    </xf>
    <xf numFmtId="172" fontId="0" fillId="0" borderId="0" xfId="0" applyNumberFormat="1"/>
    <xf numFmtId="2" fontId="57" fillId="0" borderId="0" xfId="0" applyNumberFormat="1" applyFont="1"/>
    <xf numFmtId="0" fontId="27" fillId="5" borderId="10" xfId="0" applyFont="1" applyFill="1" applyBorder="1" applyAlignment="1">
      <alignment vertical="top" wrapText="1"/>
    </xf>
    <xf numFmtId="0" fontId="27" fillId="5" borderId="11" xfId="0" applyFont="1" applyFill="1" applyBorder="1" applyAlignment="1">
      <alignment vertical="top" wrapText="1"/>
    </xf>
    <xf numFmtId="2" fontId="27" fillId="6" borderId="2" xfId="3" applyNumberFormat="1" applyFont="1" applyFill="1" applyBorder="1" applyAlignment="1">
      <alignment vertical="top"/>
    </xf>
    <xf numFmtId="2" fontId="28" fillId="0" borderId="2" xfId="0" applyNumberFormat="1" applyFont="1" applyBorder="1" applyAlignment="1">
      <alignment vertical="top"/>
    </xf>
    <xf numFmtId="2" fontId="59" fillId="0" borderId="2" xfId="0" applyNumberFormat="1" applyFont="1" applyBorder="1" applyAlignment="1">
      <alignment vertical="top"/>
    </xf>
    <xf numFmtId="1" fontId="51" fillId="2" borderId="2" xfId="0" applyNumberFormat="1" applyFont="1" applyFill="1" applyBorder="1" applyAlignment="1">
      <alignment horizontal="center" vertical="center"/>
    </xf>
    <xf numFmtId="1" fontId="51" fillId="2" borderId="3" xfId="0" applyNumberFormat="1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vertical="top" wrapText="1"/>
    </xf>
    <xf numFmtId="0" fontId="27" fillId="0" borderId="2" xfId="0" applyFont="1" applyBorder="1" applyAlignment="1">
      <alignment horizontal="center" wrapText="1"/>
    </xf>
    <xf numFmtId="0" fontId="27" fillId="0" borderId="2" xfId="0" applyFont="1" applyBorder="1" applyAlignment="1">
      <alignment wrapText="1"/>
    </xf>
    <xf numFmtId="2" fontId="56" fillId="8" borderId="1" xfId="0" applyNumberFormat="1" applyFont="1" applyFill="1" applyBorder="1"/>
    <xf numFmtId="0" fontId="48" fillId="2" borderId="2" xfId="3" applyFont="1" applyFill="1" applyBorder="1" applyAlignment="1"/>
    <xf numFmtId="2" fontId="48" fillId="2" borderId="2" xfId="3" applyNumberFormat="1" applyFont="1" applyFill="1" applyBorder="1" applyAlignment="1">
      <alignment wrapText="1"/>
    </xf>
    <xf numFmtId="3" fontId="48" fillId="2" borderId="2" xfId="3" applyNumberFormat="1" applyFont="1" applyFill="1" applyBorder="1" applyAlignment="1">
      <alignment horizontal="left"/>
    </xf>
    <xf numFmtId="0" fontId="7" fillId="0" borderId="2" xfId="3" applyFont="1" applyBorder="1" applyAlignment="1"/>
    <xf numFmtId="2" fontId="30" fillId="0" borderId="2" xfId="3" applyNumberFormat="1" applyFont="1" applyBorder="1" applyAlignment="1"/>
    <xf numFmtId="1" fontId="0" fillId="0" borderId="2" xfId="0" applyNumberFormat="1" applyBorder="1"/>
    <xf numFmtId="0" fontId="59" fillId="0" borderId="2" xfId="0" applyFont="1" applyBorder="1"/>
    <xf numFmtId="2" fontId="57" fillId="0" borderId="2" xfId="0" applyNumberFormat="1" applyFont="1" applyBorder="1"/>
    <xf numFmtId="2" fontId="34" fillId="3" borderId="17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58" fillId="0" borderId="12" xfId="0" applyFont="1" applyBorder="1" applyAlignment="1">
      <alignment horizontal="center"/>
    </xf>
    <xf numFmtId="0" fontId="4" fillId="3" borderId="0" xfId="3" applyFont="1" applyFill="1" applyBorder="1" applyAlignment="1">
      <alignment horizontal="center"/>
    </xf>
    <xf numFmtId="0" fontId="9" fillId="3" borderId="3" xfId="3" applyNumberFormat="1" applyFont="1" applyFill="1" applyBorder="1" applyAlignment="1">
      <alignment horizontal="left" wrapText="1"/>
    </xf>
    <xf numFmtId="0" fontId="9" fillId="3" borderId="4" xfId="3" applyNumberFormat="1" applyFont="1" applyFill="1" applyBorder="1" applyAlignment="1">
      <alignment horizontal="left" wrapText="1"/>
    </xf>
    <xf numFmtId="0" fontId="6" fillId="3" borderId="0" xfId="3" applyFont="1" applyFill="1" applyBorder="1" applyAlignment="1">
      <alignment horizontal="left"/>
    </xf>
    <xf numFmtId="0" fontId="22" fillId="3" borderId="3" xfId="3" applyFont="1" applyFill="1" applyBorder="1" applyAlignment="1">
      <alignment horizontal="center" vertical="center"/>
    </xf>
    <xf numFmtId="0" fontId="22" fillId="3" borderId="4" xfId="3" applyFont="1" applyFill="1" applyBorder="1" applyAlignment="1">
      <alignment horizontal="center" vertical="center"/>
    </xf>
    <xf numFmtId="0" fontId="50" fillId="2" borderId="17" xfId="3" applyFont="1" applyFill="1" applyBorder="1" applyAlignment="1">
      <alignment horizontal="center" vertical="center" wrapText="1"/>
    </xf>
    <xf numFmtId="0" fontId="50" fillId="2" borderId="9" xfId="3" applyFont="1" applyFill="1" applyBorder="1" applyAlignment="1">
      <alignment horizontal="center" vertical="center" wrapText="1"/>
    </xf>
    <xf numFmtId="0" fontId="50" fillId="2" borderId="6" xfId="3" applyFont="1" applyFill="1" applyBorder="1" applyAlignment="1">
      <alignment horizontal="center" vertical="center" wrapText="1"/>
    </xf>
    <xf numFmtId="0" fontId="47" fillId="2" borderId="0" xfId="3" applyFont="1" applyFill="1" applyAlignment="1">
      <alignment horizontal="left" wrapText="1"/>
    </xf>
    <xf numFmtId="0" fontId="4" fillId="3" borderId="0" xfId="3" applyFont="1" applyFill="1" applyAlignment="1">
      <alignment horizontal="center"/>
    </xf>
    <xf numFmtId="0" fontId="5" fillId="3" borderId="0" xfId="3" applyFont="1" applyFill="1" applyBorder="1" applyAlignment="1">
      <alignment horizontal="right"/>
    </xf>
    <xf numFmtId="0" fontId="2" fillId="3" borderId="0" xfId="3" applyFont="1" applyFill="1" applyBorder="1">
      <alignment horizontal="left"/>
    </xf>
    <xf numFmtId="0" fontId="22" fillId="3" borderId="0" xfId="3" applyFont="1" applyFill="1" applyAlignment="1">
      <alignment horizontal="center" wrapText="1"/>
    </xf>
    <xf numFmtId="0" fontId="33" fillId="3" borderId="12" xfId="3" applyFont="1" applyFill="1" applyBorder="1" applyAlignment="1">
      <alignment horizontal="left"/>
    </xf>
    <xf numFmtId="0" fontId="33" fillId="3" borderId="8" xfId="3" applyFont="1" applyFill="1" applyBorder="1" applyAlignment="1">
      <alignment horizontal="left"/>
    </xf>
    <xf numFmtId="0" fontId="22" fillId="3" borderId="0" xfId="3" applyFont="1" applyFill="1" applyAlignment="1">
      <alignment horizontal="center"/>
    </xf>
    <xf numFmtId="0" fontId="31" fillId="3" borderId="0" xfId="3" applyFont="1" applyFill="1" applyAlignment="1">
      <alignment horizontal="left" wrapText="1"/>
    </xf>
    <xf numFmtId="0" fontId="31" fillId="3" borderId="0" xfId="3" applyFont="1" applyFill="1" applyAlignment="1">
      <alignment horizontal="left"/>
    </xf>
    <xf numFmtId="0" fontId="65" fillId="0" borderId="3" xfId="0" applyFont="1" applyBorder="1" applyAlignment="1">
      <alignment horizontal="left" vertical="top" wrapText="1"/>
    </xf>
    <xf numFmtId="0" fontId="65" fillId="0" borderId="4" xfId="0" applyFont="1" applyBorder="1" applyAlignment="1">
      <alignment horizontal="left" vertical="top" wrapText="1"/>
    </xf>
    <xf numFmtId="0" fontId="65" fillId="0" borderId="5" xfId="0" applyFont="1" applyBorder="1" applyAlignment="1">
      <alignment horizontal="left" vertical="top" wrapText="1"/>
    </xf>
    <xf numFmtId="0" fontId="4" fillId="3" borderId="3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1" fillId="3" borderId="3" xfId="3" applyFont="1" applyFill="1" applyBorder="1" applyAlignment="1">
      <alignment horizontal="left"/>
    </xf>
    <xf numFmtId="0" fontId="31" fillId="3" borderId="4" xfId="3" applyFont="1" applyFill="1" applyBorder="1" applyAlignment="1">
      <alignment horizontal="left"/>
    </xf>
    <xf numFmtId="0" fontId="31" fillId="3" borderId="5" xfId="3" applyFont="1" applyFill="1" applyBorder="1" applyAlignment="1">
      <alignment horizontal="left"/>
    </xf>
    <xf numFmtId="0" fontId="31" fillId="3" borderId="0" xfId="3" applyFont="1" applyFill="1" applyBorder="1" applyAlignment="1">
      <alignment horizontal="left" wrapText="1"/>
    </xf>
    <xf numFmtId="0" fontId="29" fillId="3" borderId="0" xfId="3" applyFont="1" applyFill="1" applyAlignment="1">
      <alignment horizontal="center" vertical="center"/>
    </xf>
    <xf numFmtId="0" fontId="29" fillId="3" borderId="0" xfId="3" applyFont="1" applyFill="1" applyAlignment="1">
      <alignment horizontal="center"/>
    </xf>
    <xf numFmtId="0" fontId="47" fillId="2" borderId="0" xfId="3" applyFont="1" applyFill="1" applyAlignment="1">
      <alignment horizontal="center"/>
    </xf>
    <xf numFmtId="0" fontId="48" fillId="2" borderId="0" xfId="3" applyFont="1" applyFill="1">
      <alignment horizontal="left"/>
    </xf>
    <xf numFmtId="0" fontId="37" fillId="3" borderId="0" xfId="0" applyFont="1" applyFill="1" applyAlignment="1">
      <alignment horizontal="center"/>
    </xf>
    <xf numFmtId="0" fontId="4" fillId="3" borderId="0" xfId="3" applyFont="1" applyFill="1" applyAlignment="1">
      <alignment horizontal="center" wrapText="1"/>
    </xf>
    <xf numFmtId="0" fontId="8" fillId="3" borderId="0" xfId="3" applyFont="1" applyFill="1" applyAlignment="1">
      <alignment horizontal="left" wrapText="1"/>
    </xf>
    <xf numFmtId="0" fontId="36" fillId="3" borderId="0" xfId="0" applyFont="1" applyFill="1" applyAlignment="1">
      <alignment horizontal="center"/>
    </xf>
    <xf numFmtId="2" fontId="21" fillId="3" borderId="0" xfId="0" applyNumberFormat="1" applyFont="1" applyFill="1" applyBorder="1" applyAlignment="1">
      <alignment horizontal="left" vertical="center" wrapText="1"/>
    </xf>
    <xf numFmtId="2" fontId="44" fillId="3" borderId="0" xfId="1" applyNumberFormat="1" applyFont="1" applyFill="1" applyAlignment="1" applyProtection="1">
      <alignment horizontal="center"/>
    </xf>
    <xf numFmtId="0" fontId="3" fillId="0" borderId="13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2" fontId="60" fillId="2" borderId="7" xfId="3" applyNumberFormat="1" applyFont="1" applyFill="1" applyBorder="1" applyAlignment="1">
      <alignment horizontal="left" vertical="top" wrapText="1"/>
    </xf>
    <xf numFmtId="2" fontId="46" fillId="2" borderId="4" xfId="3" applyNumberFormat="1" applyFont="1" applyFill="1" applyBorder="1" applyAlignment="1">
      <alignment horizontal="center" vertical="center"/>
    </xf>
    <xf numFmtId="2" fontId="46" fillId="2" borderId="5" xfId="3" applyNumberFormat="1" applyFont="1" applyFill="1" applyBorder="1" applyAlignment="1">
      <alignment horizontal="center" vertical="center"/>
    </xf>
    <xf numFmtId="0" fontId="31" fillId="3" borderId="3" xfId="3" applyFont="1" applyFill="1" applyBorder="1" applyAlignment="1">
      <alignment horizontal="center"/>
    </xf>
    <xf numFmtId="0" fontId="31" fillId="3" borderId="4" xfId="3" applyFont="1" applyFill="1" applyBorder="1" applyAlignment="1">
      <alignment horizontal="center"/>
    </xf>
    <xf numFmtId="0" fontId="31" fillId="3" borderId="5" xfId="3" applyFont="1" applyFill="1" applyBorder="1" applyAlignment="1">
      <alignment horizontal="center"/>
    </xf>
    <xf numFmtId="2" fontId="46" fillId="2" borderId="3" xfId="3" applyNumberFormat="1" applyFont="1" applyFill="1" applyBorder="1" applyAlignment="1">
      <alignment horizontal="center" vertical="center"/>
    </xf>
    <xf numFmtId="0" fontId="3" fillId="0" borderId="18" xfId="3" applyFont="1" applyFill="1" applyBorder="1" applyAlignment="1">
      <alignment horizontal="center" vertical="center" wrapText="1"/>
    </xf>
    <xf numFmtId="0" fontId="7" fillId="3" borderId="0" xfId="3" applyFont="1" applyFill="1">
      <alignment horizontal="left"/>
    </xf>
    <xf numFmtId="0" fontId="50" fillId="2" borderId="13" xfId="3" applyFont="1" applyFill="1" applyBorder="1" applyAlignment="1">
      <alignment horizontal="center" vertical="center" wrapText="1"/>
    </xf>
    <xf numFmtId="0" fontId="50" fillId="2" borderId="14" xfId="3" applyFont="1" applyFill="1" applyBorder="1" applyAlignment="1">
      <alignment horizontal="center" vertical="center" wrapText="1"/>
    </xf>
    <xf numFmtId="0" fontId="50" fillId="2" borderId="15" xfId="3" applyFont="1" applyFill="1" applyBorder="1" applyAlignment="1">
      <alignment horizontal="center" vertical="center" wrapText="1"/>
    </xf>
    <xf numFmtId="0" fontId="50" fillId="2" borderId="16" xfId="3" applyFont="1" applyFill="1" applyBorder="1" applyAlignment="1">
      <alignment horizontal="center" vertical="center" wrapText="1"/>
    </xf>
    <xf numFmtId="0" fontId="50" fillId="2" borderId="18" xfId="3" applyFont="1" applyFill="1" applyBorder="1" applyAlignment="1">
      <alignment horizontal="center" vertical="center" wrapText="1"/>
    </xf>
    <xf numFmtId="0" fontId="50" fillId="2" borderId="8" xfId="3" applyFont="1" applyFill="1" applyBorder="1" applyAlignment="1">
      <alignment horizontal="center" vertical="center" wrapText="1"/>
    </xf>
    <xf numFmtId="0" fontId="22" fillId="3" borderId="15" xfId="3" applyFont="1" applyFill="1" applyBorder="1" applyAlignment="1">
      <alignment horizontal="center" vertical="center" wrapText="1"/>
    </xf>
    <xf numFmtId="0" fontId="22" fillId="3" borderId="16" xfId="3" applyFont="1" applyFill="1" applyBorder="1" applyAlignment="1">
      <alignment horizontal="center" vertical="center" wrapText="1"/>
    </xf>
    <xf numFmtId="0" fontId="22" fillId="3" borderId="18" xfId="3" applyFont="1" applyFill="1" applyBorder="1" applyAlignment="1">
      <alignment horizontal="center" vertical="center" wrapText="1"/>
    </xf>
    <xf numFmtId="0" fontId="22" fillId="3" borderId="8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2" fontId="34" fillId="3" borderId="2" xfId="0" applyNumberFormat="1" applyFont="1" applyFill="1" applyBorder="1" applyAlignment="1">
      <alignment horizontal="left" vertical="center" wrapText="1"/>
    </xf>
    <xf numFmtId="0" fontId="33" fillId="3" borderId="0" xfId="3" applyFont="1" applyFill="1" applyAlignment="1">
      <alignment horizontal="left"/>
    </xf>
    <xf numFmtId="0" fontId="31" fillId="3" borderId="3" xfId="3" applyFont="1" applyFill="1" applyBorder="1" applyAlignment="1">
      <alignment horizontal="left" vertical="top"/>
    </xf>
    <xf numFmtId="0" fontId="31" fillId="3" borderId="4" xfId="3" applyFont="1" applyFill="1" applyBorder="1" applyAlignment="1">
      <alignment horizontal="left" vertical="top"/>
    </xf>
    <xf numFmtId="0" fontId="31" fillId="3" borderId="5" xfId="3" applyFont="1" applyFill="1" applyBorder="1" applyAlignment="1">
      <alignment horizontal="left" vertical="top"/>
    </xf>
    <xf numFmtId="0" fontId="50" fillId="2" borderId="7" xfId="3" applyFont="1" applyFill="1" applyBorder="1" applyAlignment="1">
      <alignment horizontal="center" vertical="center" wrapText="1"/>
    </xf>
    <xf numFmtId="0" fontId="50" fillId="2" borderId="0" xfId="3" applyFont="1" applyFill="1" applyBorder="1" applyAlignment="1">
      <alignment horizontal="center" vertical="center" wrapText="1"/>
    </xf>
    <xf numFmtId="0" fontId="50" fillId="2" borderId="12" xfId="3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_Лист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R120"/>
  <sheetViews>
    <sheetView topLeftCell="A22" zoomScaleSheetLayoutView="100" workbookViewId="0">
      <pane xSplit="1" topLeftCell="B1" activePane="topRight" state="frozen"/>
      <selection activeCell="A52" sqref="A52"/>
      <selection pane="topRight" activeCell="F47" sqref="F47:F48"/>
    </sheetView>
  </sheetViews>
  <sheetFormatPr defaultRowHeight="12.75"/>
  <cols>
    <col min="1" max="1" width="4.5703125" customWidth="1"/>
    <col min="2" max="2" width="16.42578125" customWidth="1"/>
    <col min="3" max="3" width="4.28515625" style="22" customWidth="1"/>
    <col min="4" max="4" width="15.5703125" customWidth="1"/>
    <col min="5" max="5" width="14.140625" style="14" customWidth="1"/>
    <col min="6" max="6" width="19.5703125" customWidth="1"/>
    <col min="7" max="7" width="42.85546875" customWidth="1"/>
    <col min="8" max="8" width="15.28515625" customWidth="1"/>
    <col min="9" max="9" width="13.85546875" customWidth="1"/>
    <col min="10" max="10" width="15.85546875" customWidth="1"/>
    <col min="11" max="11" width="16.140625" customWidth="1"/>
    <col min="12" max="12" width="16.42578125" customWidth="1"/>
    <col min="13" max="13" width="19.42578125" customWidth="1"/>
    <col min="14" max="14" width="13.7109375" customWidth="1"/>
    <col min="15" max="15" width="12.85546875" customWidth="1"/>
  </cols>
  <sheetData>
    <row r="1" spans="1:11" ht="24.75" customHeight="1">
      <c r="A1" s="1" t="s">
        <v>14</v>
      </c>
      <c r="B1" s="3" t="s">
        <v>28</v>
      </c>
      <c r="C1" s="19"/>
      <c r="D1" s="15" t="s">
        <v>29</v>
      </c>
      <c r="E1" t="s">
        <v>171</v>
      </c>
      <c r="F1" s="26"/>
      <c r="G1" s="37"/>
      <c r="H1" s="34"/>
      <c r="I1" s="34"/>
      <c r="J1" s="33"/>
    </row>
    <row r="2" spans="1:11" ht="15">
      <c r="A2" s="2">
        <v>1</v>
      </c>
      <c r="B2" s="11" t="s">
        <v>46</v>
      </c>
      <c r="C2" s="20">
        <v>1</v>
      </c>
      <c r="D2" s="16">
        <v>9509.18</v>
      </c>
      <c r="E2" s="18">
        <f>F2/F3*D2</f>
        <v>11123.272281518606</v>
      </c>
      <c r="F2" s="18">
        <v>195728.56</v>
      </c>
      <c r="G2" s="54"/>
      <c r="H2" s="35"/>
      <c r="I2" s="23"/>
      <c r="J2" s="24"/>
      <c r="K2" s="25"/>
    </row>
    <row r="3" spans="1:11" ht="15">
      <c r="A3" s="2">
        <v>2</v>
      </c>
      <c r="B3" s="11" t="s">
        <v>47</v>
      </c>
      <c r="C3" s="20">
        <v>2</v>
      </c>
      <c r="D3" s="16">
        <v>2191.1</v>
      </c>
      <c r="E3" s="18">
        <f>F2/F3*D3</f>
        <v>2563.0182514197245</v>
      </c>
      <c r="F3" s="14">
        <v>167326.49</v>
      </c>
      <c r="G3" s="54"/>
      <c r="H3" s="35"/>
      <c r="I3" s="26"/>
      <c r="J3" s="24"/>
      <c r="K3" s="25"/>
    </row>
    <row r="4" spans="1:11" ht="15">
      <c r="A4" s="2">
        <v>3</v>
      </c>
      <c r="B4" s="12" t="s">
        <v>48</v>
      </c>
      <c r="C4" s="20">
        <v>3</v>
      </c>
      <c r="D4" s="16">
        <v>7702.2</v>
      </c>
      <c r="E4" s="18">
        <f>F2/F3*D4</f>
        <v>9009.5747232371887</v>
      </c>
      <c r="F4" s="14"/>
      <c r="G4" s="54"/>
      <c r="H4" s="35"/>
      <c r="I4" s="26"/>
      <c r="J4" s="24"/>
      <c r="K4" s="25"/>
    </row>
    <row r="5" spans="1:11" ht="15">
      <c r="A5" s="2">
        <v>4</v>
      </c>
      <c r="B5" s="12" t="s">
        <v>49</v>
      </c>
      <c r="C5" s="20">
        <v>4</v>
      </c>
      <c r="D5" s="16">
        <v>5475.7</v>
      </c>
      <c r="E5" s="18">
        <f>F2/F3*D5</f>
        <v>6405.1476606722581</v>
      </c>
      <c r="F5" s="14"/>
      <c r="G5" s="54"/>
      <c r="H5" s="35"/>
      <c r="I5" s="26"/>
      <c r="J5" s="24"/>
      <c r="K5" s="25"/>
    </row>
    <row r="6" spans="1:11" ht="15">
      <c r="A6" s="2">
        <v>5</v>
      </c>
      <c r="B6" s="12" t="s">
        <v>50</v>
      </c>
      <c r="C6" s="20">
        <v>5</v>
      </c>
      <c r="D6" s="16">
        <v>3846.1</v>
      </c>
      <c r="E6" s="18">
        <f>F2/F3*D6</f>
        <v>4498.9386594794405</v>
      </c>
      <c r="F6" s="14"/>
      <c r="G6" s="54"/>
      <c r="H6" s="36"/>
      <c r="I6" s="26"/>
      <c r="J6" s="24"/>
      <c r="K6" s="25"/>
    </row>
    <row r="7" spans="1:11" ht="15">
      <c r="A7" s="2">
        <v>6</v>
      </c>
      <c r="B7" s="12" t="s">
        <v>51</v>
      </c>
      <c r="C7" s="20">
        <v>6</v>
      </c>
      <c r="D7" s="16">
        <v>3645.7</v>
      </c>
      <c r="E7" s="18">
        <f>F2/F3*D7</f>
        <v>4264.5226777421794</v>
      </c>
      <c r="F7" s="14"/>
      <c r="G7" s="54"/>
      <c r="H7" s="35"/>
      <c r="I7" s="26"/>
      <c r="J7" s="24"/>
      <c r="K7" s="25"/>
    </row>
    <row r="8" spans="1:11" ht="15">
      <c r="A8" s="2">
        <v>7</v>
      </c>
      <c r="B8" s="12" t="s">
        <v>52</v>
      </c>
      <c r="C8" s="20">
        <v>7</v>
      </c>
      <c r="D8" s="16">
        <v>8242.7000000000007</v>
      </c>
      <c r="E8" s="18">
        <f>F2/F3*D8</f>
        <v>9641.8194244796523</v>
      </c>
      <c r="F8" s="14"/>
      <c r="G8" s="54"/>
      <c r="H8" s="35"/>
      <c r="I8" s="26"/>
      <c r="J8" s="24"/>
      <c r="K8" s="25"/>
    </row>
    <row r="9" spans="1:11" ht="15">
      <c r="A9" s="2">
        <v>8</v>
      </c>
      <c r="B9" s="12" t="s">
        <v>53</v>
      </c>
      <c r="C9" s="20">
        <v>8</v>
      </c>
      <c r="D9" s="16">
        <v>7234.6</v>
      </c>
      <c r="E9" s="18">
        <f>F2/F3*D9</f>
        <v>8462.6040991835798</v>
      </c>
      <c r="F9" s="14"/>
      <c r="G9" s="54"/>
      <c r="H9" s="35"/>
      <c r="I9" s="26"/>
      <c r="J9" s="24"/>
      <c r="K9" s="25"/>
    </row>
    <row r="10" spans="1:11" ht="15">
      <c r="A10" s="2">
        <v>9</v>
      </c>
      <c r="B10" s="12" t="s">
        <v>54</v>
      </c>
      <c r="C10" s="20">
        <v>9</v>
      </c>
      <c r="D10" s="16">
        <v>5745.36</v>
      </c>
      <c r="E10" s="18">
        <f>F2/F3*D10</f>
        <v>6720.5798644410697</v>
      </c>
      <c r="F10" s="14"/>
      <c r="G10" s="54"/>
      <c r="H10" s="35"/>
      <c r="I10" s="26"/>
      <c r="J10" s="24"/>
      <c r="K10" s="25"/>
    </row>
    <row r="11" spans="1:11" ht="15">
      <c r="A11" s="2">
        <v>10</v>
      </c>
      <c r="B11" s="12" t="s">
        <v>55</v>
      </c>
      <c r="C11" s="20">
        <v>10</v>
      </c>
      <c r="D11" s="16">
        <v>5755.42</v>
      </c>
      <c r="E11" s="18">
        <f>F2/F3*D11</f>
        <v>6732.3474531450465</v>
      </c>
      <c r="F11" s="14"/>
      <c r="G11" s="54"/>
      <c r="H11" s="35"/>
      <c r="I11" s="26"/>
      <c r="J11" s="24"/>
      <c r="K11" s="25"/>
    </row>
    <row r="12" spans="1:11" ht="15">
      <c r="A12" s="2">
        <v>11</v>
      </c>
      <c r="B12" s="12" t="s">
        <v>56</v>
      </c>
      <c r="C12" s="20">
        <v>11</v>
      </c>
      <c r="D12" s="16">
        <v>5376.08</v>
      </c>
      <c r="E12" s="18">
        <f>F2/F3*D12</f>
        <v>6288.6181192517697</v>
      </c>
      <c r="F12" s="14"/>
      <c r="G12" s="54"/>
      <c r="H12" s="35"/>
      <c r="I12" s="26"/>
      <c r="J12" s="24"/>
      <c r="K12" s="25"/>
    </row>
    <row r="13" spans="1:11" ht="15">
      <c r="A13" s="2">
        <v>12</v>
      </c>
      <c r="B13" s="12" t="s">
        <v>57</v>
      </c>
      <c r="C13" s="20">
        <v>12</v>
      </c>
      <c r="D13" s="16">
        <v>5736.67</v>
      </c>
      <c r="E13" s="18">
        <f>F2/F3*D13</f>
        <v>6710.4148201232219</v>
      </c>
      <c r="F13" s="14"/>
      <c r="G13" s="54"/>
      <c r="H13" s="35"/>
      <c r="I13" s="26"/>
      <c r="J13" s="24"/>
      <c r="K13" s="25"/>
    </row>
    <row r="14" spans="1:11" ht="15">
      <c r="A14" s="2">
        <v>13</v>
      </c>
      <c r="B14" s="12" t="s">
        <v>58</v>
      </c>
      <c r="C14" s="20">
        <v>13</v>
      </c>
      <c r="D14" s="16">
        <v>5676.9</v>
      </c>
      <c r="E14" s="18">
        <f>F2/F3*D14</f>
        <v>6640.4994347517841</v>
      </c>
      <c r="F14" s="14"/>
      <c r="G14" s="54"/>
      <c r="H14" s="26"/>
      <c r="I14" s="27"/>
      <c r="J14" s="24"/>
      <c r="K14" s="25"/>
    </row>
    <row r="15" spans="1:11" ht="15">
      <c r="A15" s="2">
        <v>14</v>
      </c>
      <c r="B15" s="12" t="s">
        <v>59</v>
      </c>
      <c r="C15" s="20">
        <v>14</v>
      </c>
      <c r="D15" s="16">
        <v>10517.5</v>
      </c>
      <c r="E15" s="18">
        <f>F2/F3*D15</f>
        <v>12302.7449497088</v>
      </c>
      <c r="F15" s="14"/>
      <c r="G15" s="54"/>
      <c r="H15" s="35"/>
      <c r="I15" s="26"/>
      <c r="J15" s="24"/>
      <c r="K15" s="25"/>
    </row>
    <row r="16" spans="1:11" ht="15">
      <c r="A16" s="2">
        <v>15</v>
      </c>
      <c r="B16" s="12" t="s">
        <v>60</v>
      </c>
      <c r="C16" s="20">
        <v>15</v>
      </c>
      <c r="D16" s="16">
        <v>6421.6</v>
      </c>
      <c r="E16" s="18">
        <f>F2/F3*D16</f>
        <v>7511.6051313572652</v>
      </c>
      <c r="F16" s="14"/>
      <c r="G16" s="54"/>
      <c r="H16" s="35"/>
      <c r="I16" s="28"/>
      <c r="J16" s="24"/>
      <c r="K16" s="25"/>
    </row>
    <row r="17" spans="1:15" ht="15">
      <c r="A17" s="2">
        <v>16</v>
      </c>
      <c r="B17" s="12" t="s">
        <v>61</v>
      </c>
      <c r="C17" s="20">
        <v>16</v>
      </c>
      <c r="D17" s="16">
        <v>6225.33</v>
      </c>
      <c r="E17" s="18">
        <f>F2/F3*D17</f>
        <v>7282.0201775869446</v>
      </c>
      <c r="F17" s="14"/>
      <c r="G17" s="54"/>
      <c r="H17" s="36"/>
      <c r="I17" s="29"/>
      <c r="J17" s="24"/>
      <c r="K17" s="25"/>
    </row>
    <row r="18" spans="1:15" ht="15">
      <c r="A18" s="2">
        <v>17</v>
      </c>
      <c r="B18" s="12" t="s">
        <v>62</v>
      </c>
      <c r="C18" s="20">
        <v>17</v>
      </c>
      <c r="D18" s="16">
        <v>3781.1</v>
      </c>
      <c r="E18" s="18">
        <f>F2/F3*D18</f>
        <v>4422.9055316704489</v>
      </c>
      <c r="F18" s="14"/>
      <c r="G18" s="54"/>
      <c r="H18" s="36"/>
      <c r="I18" s="29"/>
      <c r="J18" s="24"/>
      <c r="K18" s="25"/>
    </row>
    <row r="19" spans="1:15" ht="15">
      <c r="A19" s="2">
        <v>18</v>
      </c>
      <c r="B19" s="12" t="s">
        <v>63</v>
      </c>
      <c r="C19" s="20">
        <v>18</v>
      </c>
      <c r="D19" s="16">
        <v>3641.11</v>
      </c>
      <c r="E19" s="18">
        <f>F2/F3*D19</f>
        <v>4259.1535691784375</v>
      </c>
      <c r="F19" s="14"/>
      <c r="G19" s="54"/>
      <c r="H19" s="36"/>
      <c r="I19" s="29"/>
      <c r="J19" s="24"/>
      <c r="K19" s="30"/>
    </row>
    <row r="20" spans="1:15" ht="15">
      <c r="A20" s="2">
        <v>19</v>
      </c>
      <c r="B20" s="12" t="s">
        <v>64</v>
      </c>
      <c r="C20" s="20">
        <v>19</v>
      </c>
      <c r="D20" s="16">
        <v>5477.19</v>
      </c>
      <c r="E20" s="18">
        <f>F2/F3*D20</f>
        <v>6406.8905739097263</v>
      </c>
      <c r="F20" s="14"/>
      <c r="G20" s="54"/>
      <c r="H20" s="37"/>
      <c r="I20" s="31"/>
      <c r="J20" s="32"/>
      <c r="K20" s="33"/>
    </row>
    <row r="21" spans="1:15" ht="15">
      <c r="A21" s="2">
        <v>20</v>
      </c>
      <c r="B21" s="12" t="s">
        <v>65</v>
      </c>
      <c r="C21" s="20">
        <v>20</v>
      </c>
      <c r="D21" s="16">
        <v>7276.2</v>
      </c>
      <c r="E21" s="18">
        <f>F2/F3*D21</f>
        <v>8511.265300981333</v>
      </c>
      <c r="F21" s="14"/>
      <c r="G21" s="54"/>
    </row>
    <row r="22" spans="1:15" ht="15">
      <c r="A22" s="2">
        <v>21</v>
      </c>
      <c r="B22" s="12" t="s">
        <v>66</v>
      </c>
      <c r="C22" s="20">
        <v>21</v>
      </c>
      <c r="D22" s="16">
        <v>11395.2</v>
      </c>
      <c r="E22" s="18">
        <f>F2/F3*D22</f>
        <v>13329.426123215759</v>
      </c>
      <c r="F22" s="14"/>
      <c r="G22" s="54"/>
    </row>
    <row r="23" spans="1:15" ht="15">
      <c r="A23" s="2">
        <v>22</v>
      </c>
      <c r="B23" s="12" t="s">
        <v>67</v>
      </c>
      <c r="C23" s="20">
        <v>22</v>
      </c>
      <c r="D23" s="16">
        <v>5370.99</v>
      </c>
      <c r="E23" s="18">
        <f>F2/F3*D23</f>
        <v>6282.6641404741113</v>
      </c>
      <c r="F23" s="14"/>
      <c r="G23" s="54"/>
    </row>
    <row r="24" spans="1:15" ht="15">
      <c r="A24" s="2">
        <v>23</v>
      </c>
      <c r="B24" s="12" t="s">
        <v>68</v>
      </c>
      <c r="C24" s="20">
        <v>23</v>
      </c>
      <c r="D24" s="16">
        <v>5306.36</v>
      </c>
      <c r="E24" s="18">
        <f>F2/F3*D24</f>
        <v>6207.0638166234166</v>
      </c>
      <c r="F24" s="14"/>
      <c r="G24" s="54"/>
    </row>
    <row r="25" spans="1:15" ht="15">
      <c r="A25" s="2">
        <v>24</v>
      </c>
      <c r="B25" s="12" t="s">
        <v>69</v>
      </c>
      <c r="C25" s="20">
        <v>24</v>
      </c>
      <c r="D25" s="16">
        <v>5284.1</v>
      </c>
      <c r="E25" s="18">
        <f>F2/F3*D25</f>
        <v>6181.0253946999073</v>
      </c>
      <c r="F25" s="14"/>
      <c r="G25" s="54"/>
    </row>
    <row r="26" spans="1:15" ht="15">
      <c r="A26" s="2">
        <v>25</v>
      </c>
      <c r="B26" s="12" t="s">
        <v>70</v>
      </c>
      <c r="C26" s="20">
        <v>25</v>
      </c>
      <c r="D26" s="16">
        <v>4910.4399999999996</v>
      </c>
      <c r="E26" s="18">
        <f>F2/F3*D26</f>
        <v>5743.9401864367082</v>
      </c>
      <c r="F26" s="14"/>
      <c r="G26" s="54">
        <f>I35*D19</f>
        <v>0</v>
      </c>
    </row>
    <row r="27" spans="1:15" ht="15">
      <c r="A27" s="2">
        <v>26</v>
      </c>
      <c r="B27" s="12" t="s">
        <v>71</v>
      </c>
      <c r="C27" s="20">
        <v>26</v>
      </c>
      <c r="D27" s="16">
        <v>4954.4399999999996</v>
      </c>
      <c r="E27" s="18">
        <f>F2/F3*D27</f>
        <v>5795.408765261257</v>
      </c>
      <c r="F27" s="14"/>
      <c r="G27" s="54"/>
    </row>
    <row r="28" spans="1:15" ht="15">
      <c r="A28" s="2">
        <v>27</v>
      </c>
      <c r="B28" s="12" t="s">
        <v>72</v>
      </c>
      <c r="C28" s="20">
        <v>27</v>
      </c>
      <c r="D28" s="16">
        <v>5196.72</v>
      </c>
      <c r="E28" s="18">
        <f>F2/F3*D28</f>
        <v>6078.8134761160654</v>
      </c>
      <c r="F28" s="14"/>
      <c r="G28" s="54"/>
    </row>
    <row r="29" spans="1:15" ht="15">
      <c r="A29" s="2">
        <v>28</v>
      </c>
      <c r="B29" s="12" t="s">
        <v>73</v>
      </c>
      <c r="C29" s="20">
        <v>28</v>
      </c>
      <c r="D29" s="16">
        <v>5430.5</v>
      </c>
      <c r="E29" s="18">
        <f>F2/F3*D29</f>
        <v>6352.2753933343138</v>
      </c>
      <c r="F29" s="14"/>
      <c r="G29" s="54"/>
    </row>
    <row r="30" spans="1:15">
      <c r="A30" s="2"/>
      <c r="B30" s="5" t="s">
        <v>24</v>
      </c>
      <c r="C30" s="21"/>
      <c r="D30" s="17">
        <f>SUM(D2:D29)</f>
        <v>167326.49</v>
      </c>
      <c r="E30" s="18">
        <f>SUM(E2:E29)</f>
        <v>195728.56</v>
      </c>
      <c r="F30" s="14">
        <f>SUM(F2:F29)</f>
        <v>363055.05</v>
      </c>
      <c r="G30" s="14">
        <f>SUM(G2:G29)</f>
        <v>0</v>
      </c>
      <c r="M30" t="s">
        <v>119</v>
      </c>
      <c r="N30" s="14" t="e">
        <f>#REF!+#REF!+#REF!+#REF!+#REF!+#REF!+#REF!+#REF!+#REF!+#REF!+#REF!+#REF!+#REF!+#REF!+#REF!+'Энергетиков 53'!#REF!+#REF!+#REF!+#REF!+#REF!+#REF!+#REF!+#REF!+#REF!+#REF!+#REF!+#REF!+#REF!</f>
        <v>#REF!</v>
      </c>
    </row>
    <row r="31" spans="1:15" s="38" customFormat="1" ht="37.5">
      <c r="C31" s="39"/>
      <c r="E31" s="40"/>
      <c r="F31" s="41" t="s">
        <v>14</v>
      </c>
      <c r="G31" s="42" t="s">
        <v>31</v>
      </c>
      <c r="H31" s="43" t="s">
        <v>33</v>
      </c>
      <c r="I31" s="43" t="s">
        <v>34</v>
      </c>
      <c r="J31" s="44" t="s">
        <v>35</v>
      </c>
      <c r="M31" s="52"/>
    </row>
    <row r="32" spans="1:15" s="38" customFormat="1" ht="18.75">
      <c r="C32" s="39"/>
      <c r="E32" s="40"/>
      <c r="F32" s="45">
        <v>1</v>
      </c>
      <c r="G32" s="41" t="s">
        <v>18</v>
      </c>
      <c r="H32" s="46"/>
      <c r="I32" s="47">
        <f t="shared" ref="I32:I45" si="0">H32/J32</f>
        <v>0</v>
      </c>
      <c r="J32" s="48">
        <v>167326.49</v>
      </c>
      <c r="K32" s="46"/>
      <c r="L32" s="41"/>
      <c r="M32" s="46"/>
      <c r="N32" s="41"/>
      <c r="O32" s="40" t="e">
        <f>#REF!+#REF!+#REF!+#REF!+#REF!+#REF!+#REF!+#REF!+#REF!+#REF!+#REF!+#REF!+#REF!+#REF!+#REF!+#REF!+#REF!+#REF!+#REF!+#REF!+#REF!+#REF!+#REF!+#REF!+#REF!+#REF!+#REF!</f>
        <v>#REF!</v>
      </c>
    </row>
    <row r="33" spans="3:16" s="38" customFormat="1" ht="18.75">
      <c r="C33" s="39"/>
      <c r="E33" s="40"/>
      <c r="F33" s="45">
        <v>2</v>
      </c>
      <c r="G33" s="141" t="s">
        <v>40</v>
      </c>
      <c r="H33" s="46"/>
      <c r="I33" s="47">
        <f t="shared" si="0"/>
        <v>0</v>
      </c>
      <c r="J33" s="48">
        <v>167326.49</v>
      </c>
      <c r="K33" s="41"/>
      <c r="L33" s="55"/>
      <c r="M33" s="41"/>
      <c r="N33" s="55"/>
      <c r="O33" s="41"/>
      <c r="P33" s="55"/>
    </row>
    <row r="34" spans="3:16" s="38" customFormat="1" ht="37.5">
      <c r="C34" s="39"/>
      <c r="E34" s="40"/>
      <c r="F34" s="45">
        <v>3</v>
      </c>
      <c r="G34" s="177" t="s">
        <v>108</v>
      </c>
      <c r="H34" s="46"/>
      <c r="I34" s="47">
        <f t="shared" si="0"/>
        <v>0</v>
      </c>
      <c r="J34" s="48">
        <v>167326.49</v>
      </c>
    </row>
    <row r="35" spans="3:16" s="38" customFormat="1" ht="18.75">
      <c r="C35" s="39"/>
      <c r="E35" s="40"/>
      <c r="F35" s="45">
        <v>4</v>
      </c>
      <c r="G35" s="41" t="s">
        <v>20</v>
      </c>
      <c r="H35" s="46"/>
      <c r="I35" s="47">
        <f t="shared" si="0"/>
        <v>0</v>
      </c>
      <c r="J35" s="48">
        <v>167326.49</v>
      </c>
    </row>
    <row r="36" spans="3:16" s="38" customFormat="1" ht="18.75">
      <c r="C36" s="39"/>
      <c r="E36" s="40"/>
      <c r="F36" s="45">
        <v>5</v>
      </c>
      <c r="G36" s="41" t="s">
        <v>39</v>
      </c>
      <c r="H36" s="46"/>
      <c r="I36" s="47">
        <f t="shared" si="0"/>
        <v>0</v>
      </c>
      <c r="J36" s="48">
        <v>167326.49</v>
      </c>
      <c r="K36" s="40" t="e">
        <f>#REF!+#REF!+#REF!+#REF!+#REF!+#REF!+#REF!+#REF!+#REF!+#REF!+#REF!+#REF!+#REF!+#REF!+#REF!+'Энергетиков 53'!#REF!+#REF!+#REF!+#REF!+#REF!+#REF!+#REF!+#REF!+#REF!+#REF!+#REF!+#REF!+#REF!</f>
        <v>#REF!</v>
      </c>
    </row>
    <row r="37" spans="3:16" s="38" customFormat="1" ht="18.75">
      <c r="C37" s="39"/>
      <c r="E37" s="40"/>
      <c r="F37" s="45">
        <v>8</v>
      </c>
      <c r="G37" s="41" t="s">
        <v>21</v>
      </c>
      <c r="H37" s="46"/>
      <c r="I37" s="47">
        <f t="shared" si="0"/>
        <v>0</v>
      </c>
      <c r="J37" s="48">
        <v>167326.49</v>
      </c>
    </row>
    <row r="38" spans="3:16" s="38" customFormat="1" ht="37.5">
      <c r="C38" s="39"/>
      <c r="E38" s="40"/>
      <c r="F38" s="45">
        <v>9</v>
      </c>
      <c r="G38" s="178" t="s">
        <v>41</v>
      </c>
      <c r="H38" s="142"/>
      <c r="I38" s="47">
        <f t="shared" si="0"/>
        <v>0</v>
      </c>
      <c r="J38" s="48">
        <f>167326.49-3846.1</f>
        <v>163480.38999999998</v>
      </c>
    </row>
    <row r="39" spans="3:16" s="38" customFormat="1" ht="18.75">
      <c r="C39" s="39"/>
      <c r="E39" s="40"/>
      <c r="F39" s="45">
        <v>10</v>
      </c>
      <c r="G39" s="41" t="s">
        <v>42</v>
      </c>
      <c r="H39" s="46"/>
      <c r="I39" s="47">
        <f t="shared" si="0"/>
        <v>0</v>
      </c>
      <c r="J39" s="48">
        <f>167326.49-3846.1</f>
        <v>163480.38999999998</v>
      </c>
    </row>
    <row r="40" spans="3:16" s="38" customFormat="1" ht="18.75">
      <c r="C40" s="39"/>
      <c r="E40" s="40"/>
      <c r="F40" s="45">
        <v>11</v>
      </c>
      <c r="G40" s="41" t="s">
        <v>38</v>
      </c>
      <c r="H40" s="46"/>
      <c r="I40" s="47">
        <f t="shared" si="0"/>
        <v>0</v>
      </c>
      <c r="J40" s="48">
        <v>167326.49</v>
      </c>
    </row>
    <row r="41" spans="3:16" s="38" customFormat="1" ht="18.75">
      <c r="C41" s="39"/>
      <c r="E41" s="40"/>
      <c r="F41" s="45">
        <v>12</v>
      </c>
      <c r="G41" s="143" t="s">
        <v>44</v>
      </c>
      <c r="H41" s="56"/>
      <c r="I41" s="47">
        <f t="shared" si="0"/>
        <v>0</v>
      </c>
      <c r="J41" s="48">
        <v>167326.49</v>
      </c>
      <c r="M41" s="40"/>
    </row>
    <row r="42" spans="3:16" s="38" customFormat="1" ht="18.75">
      <c r="C42" s="39"/>
      <c r="E42" s="40"/>
      <c r="F42" s="45">
        <v>13</v>
      </c>
      <c r="G42" s="143" t="s">
        <v>22</v>
      </c>
      <c r="H42" s="56"/>
      <c r="I42" s="47">
        <f>H42/J42</f>
        <v>0</v>
      </c>
      <c r="J42" s="48">
        <v>167326.49</v>
      </c>
    </row>
    <row r="43" spans="3:16" s="38" customFormat="1" ht="18.75">
      <c r="C43" s="39"/>
      <c r="E43" s="40"/>
      <c r="F43" s="45">
        <v>14</v>
      </c>
      <c r="G43" s="41" t="s">
        <v>36</v>
      </c>
      <c r="H43" s="46"/>
      <c r="I43" s="47">
        <f>H43/J43</f>
        <v>0</v>
      </c>
      <c r="J43" s="48">
        <v>167326.49</v>
      </c>
    </row>
    <row r="44" spans="3:16" s="38" customFormat="1" ht="18.75">
      <c r="C44" s="39"/>
      <c r="E44" s="40"/>
      <c r="F44" s="45">
        <v>15</v>
      </c>
      <c r="G44" s="41" t="s">
        <v>37</v>
      </c>
      <c r="H44" s="46"/>
      <c r="I44" s="47">
        <f t="shared" si="0"/>
        <v>0</v>
      </c>
      <c r="J44" s="48">
        <v>167326.49</v>
      </c>
    </row>
    <row r="45" spans="3:16" s="38" customFormat="1" ht="18.75">
      <c r="C45" s="39"/>
      <c r="E45" s="40"/>
      <c r="F45" s="45">
        <v>16</v>
      </c>
      <c r="G45" s="141" t="s">
        <v>23</v>
      </c>
      <c r="H45" s="146"/>
      <c r="I45" s="47">
        <f t="shared" si="0"/>
        <v>0</v>
      </c>
      <c r="J45" s="48">
        <v>167326.49</v>
      </c>
    </row>
    <row r="46" spans="3:16" s="38" customFormat="1" ht="18.75">
      <c r="C46" s="39"/>
      <c r="E46" s="40"/>
    </row>
    <row r="47" spans="3:16" s="38" customFormat="1" ht="18.75">
      <c r="C47" s="39"/>
      <c r="E47" s="40"/>
      <c r="G47" s="42" t="s">
        <v>32</v>
      </c>
      <c r="H47" s="49">
        <f>SUM(H32:H46)</f>
        <v>0</v>
      </c>
      <c r="I47" s="50">
        <f>SUM(I32:I46)</f>
        <v>0</v>
      </c>
      <c r="J47" s="44"/>
    </row>
    <row r="48" spans="3:16" s="38" customFormat="1" ht="18.75">
      <c r="C48" s="39"/>
      <c r="E48" s="40"/>
    </row>
    <row r="49" spans="3:18">
      <c r="G49" s="1" t="s">
        <v>4</v>
      </c>
    </row>
    <row r="52" spans="3:18">
      <c r="G52" s="51"/>
      <c r="H52" s="51"/>
      <c r="I52" s="51"/>
      <c r="J52" s="51"/>
      <c r="K52" s="51"/>
      <c r="L52" s="51"/>
      <c r="M52" s="51"/>
    </row>
    <row r="53" spans="3:18">
      <c r="G53" s="51"/>
      <c r="H53" s="51"/>
      <c r="I53" s="51"/>
      <c r="J53" s="51"/>
      <c r="K53" s="51"/>
      <c r="L53" s="51"/>
      <c r="M53" s="51"/>
    </row>
    <row r="54" spans="3:18">
      <c r="G54" s="51"/>
      <c r="H54" s="51"/>
      <c r="I54" s="51"/>
      <c r="J54" s="51"/>
      <c r="K54" s="51"/>
      <c r="L54" s="51"/>
      <c r="M54" s="51"/>
    </row>
    <row r="55" spans="3:18" ht="12.95" customHeight="1">
      <c r="F55" s="189" t="s">
        <v>179</v>
      </c>
      <c r="G55" s="189"/>
      <c r="H55" s="189"/>
      <c r="I55" s="189"/>
      <c r="J55" s="51"/>
      <c r="K55" s="51"/>
      <c r="L55" s="51"/>
      <c r="M55" s="51"/>
    </row>
    <row r="56" spans="3:18" ht="12.95" customHeight="1">
      <c r="F56" s="190"/>
      <c r="G56" s="190"/>
      <c r="H56" s="190"/>
      <c r="I56" s="190"/>
      <c r="J56" s="51"/>
      <c r="K56" s="51"/>
      <c r="L56" s="51"/>
      <c r="M56" s="51"/>
    </row>
    <row r="57" spans="3:18" ht="163.15" customHeight="1">
      <c r="C57" s="152" t="s">
        <v>14</v>
      </c>
      <c r="D57" s="153" t="s">
        <v>28</v>
      </c>
      <c r="E57" s="154" t="s">
        <v>29</v>
      </c>
      <c r="F57" s="155" t="s">
        <v>124</v>
      </c>
      <c r="G57" s="156" t="s">
        <v>126</v>
      </c>
      <c r="H57" s="156" t="s">
        <v>127</v>
      </c>
      <c r="I57" s="156" t="s">
        <v>128</v>
      </c>
      <c r="J57" s="157" t="s">
        <v>125</v>
      </c>
      <c r="K57" s="157" t="s">
        <v>129</v>
      </c>
      <c r="L57" s="183" t="s">
        <v>176</v>
      </c>
      <c r="M57" s="183" t="s">
        <v>177</v>
      </c>
      <c r="N57" s="1" t="s">
        <v>178</v>
      </c>
    </row>
    <row r="58" spans="3:18" ht="18.75">
      <c r="C58" s="158">
        <v>1</v>
      </c>
      <c r="D58" s="11" t="s">
        <v>46</v>
      </c>
      <c r="E58" s="159">
        <v>9509.18</v>
      </c>
      <c r="F58" s="163" t="e">
        <f>#REF!</f>
        <v>#REF!</v>
      </c>
      <c r="G58" s="163" t="e">
        <f>#REF!</f>
        <v>#REF!</v>
      </c>
      <c r="H58" s="163">
        <v>48813.84</v>
      </c>
      <c r="I58" s="163" t="e">
        <f>G58-F58</f>
        <v>#REF!</v>
      </c>
      <c r="J58" s="163" t="e">
        <f>#REF!</f>
        <v>#REF!</v>
      </c>
      <c r="K58" s="164" t="e">
        <f>G58+H58-J58</f>
        <v>#REF!</v>
      </c>
      <c r="L58" s="164">
        <v>-114077.8791997917</v>
      </c>
      <c r="M58" s="184" t="e">
        <f>K58+L58</f>
        <v>#REF!</v>
      </c>
      <c r="N58" s="185" t="e">
        <f>M58*10.7%</f>
        <v>#REF!</v>
      </c>
    </row>
    <row r="59" spans="3:18" ht="18.75">
      <c r="C59" s="158">
        <v>2</v>
      </c>
      <c r="D59" s="11" t="s">
        <v>47</v>
      </c>
      <c r="E59" s="159">
        <v>2191.1</v>
      </c>
      <c r="F59" s="163" t="e">
        <f>#REF!</f>
        <v>#REF!</v>
      </c>
      <c r="G59" s="163" t="e">
        <f>#REF!</f>
        <v>#REF!</v>
      </c>
      <c r="H59" s="163">
        <v>22502.77</v>
      </c>
      <c r="I59" s="163" t="e">
        <f t="shared" ref="I59:I85" si="1">G59-F59</f>
        <v>#REF!</v>
      </c>
      <c r="J59" s="163" t="e">
        <f>#REF!</f>
        <v>#REF!</v>
      </c>
      <c r="K59" s="164" t="e">
        <f t="shared" ref="K59:K85" si="2">G59+H59-J59</f>
        <v>#REF!</v>
      </c>
      <c r="L59" s="164">
        <v>184755.92612245603</v>
      </c>
      <c r="M59" s="184" t="e">
        <f t="shared" ref="M59:M85" si="3">K59+L59</f>
        <v>#REF!</v>
      </c>
      <c r="N59" s="185" t="e">
        <f t="shared" ref="N59:N85" si="4">M59*10.7%</f>
        <v>#REF!</v>
      </c>
    </row>
    <row r="60" spans="3:18" ht="18.75">
      <c r="C60" s="158">
        <v>3</v>
      </c>
      <c r="D60" s="12" t="s">
        <v>48</v>
      </c>
      <c r="E60" s="159">
        <v>7702.2</v>
      </c>
      <c r="F60" s="163" t="e">
        <f>#REF!</f>
        <v>#REF!</v>
      </c>
      <c r="G60" s="163" t="e">
        <f>#REF!</f>
        <v>#REF!</v>
      </c>
      <c r="H60" s="163">
        <v>40332.839999999997</v>
      </c>
      <c r="I60" s="163" t="e">
        <f t="shared" si="1"/>
        <v>#REF!</v>
      </c>
      <c r="J60" s="163" t="e">
        <f>#REF!</f>
        <v>#REF!</v>
      </c>
      <c r="K60" s="164" t="e">
        <f t="shared" si="2"/>
        <v>#REF!</v>
      </c>
      <c r="L60" s="164">
        <v>185062.90375445271</v>
      </c>
      <c r="M60" s="184" t="e">
        <f t="shared" si="3"/>
        <v>#REF!</v>
      </c>
      <c r="N60" s="185" t="e">
        <f t="shared" si="4"/>
        <v>#REF!</v>
      </c>
    </row>
    <row r="61" spans="3:18" ht="18.75">
      <c r="C61" s="158">
        <v>4</v>
      </c>
      <c r="D61" s="12" t="s">
        <v>49</v>
      </c>
      <c r="E61" s="159">
        <v>5475.7</v>
      </c>
      <c r="F61" s="163" t="e">
        <f>#REF!</f>
        <v>#REF!</v>
      </c>
      <c r="G61" s="163" t="e">
        <f>#REF!</f>
        <v>#REF!</v>
      </c>
      <c r="H61" s="163">
        <v>40584.74</v>
      </c>
      <c r="I61" s="163" t="e">
        <f t="shared" si="1"/>
        <v>#REF!</v>
      </c>
      <c r="J61" s="163" t="e">
        <f>#REF!</f>
        <v>#REF!</v>
      </c>
      <c r="K61" s="164" t="e">
        <f t="shared" si="2"/>
        <v>#REF!</v>
      </c>
      <c r="L61" s="164">
        <v>25708.876692406484</v>
      </c>
      <c r="M61" s="184" t="e">
        <f t="shared" si="3"/>
        <v>#REF!</v>
      </c>
      <c r="N61" s="185" t="e">
        <f t="shared" si="4"/>
        <v>#REF!</v>
      </c>
    </row>
    <row r="62" spans="3:18" ht="18.75">
      <c r="C62" s="158">
        <v>5</v>
      </c>
      <c r="D62" s="176" t="s">
        <v>50</v>
      </c>
      <c r="E62" s="159">
        <v>3846.1</v>
      </c>
      <c r="F62" s="163" t="e">
        <f>#REF!</f>
        <v>#REF!</v>
      </c>
      <c r="G62" s="163" t="e">
        <f>#REF!</f>
        <v>#REF!</v>
      </c>
      <c r="H62" s="163">
        <v>12593.85</v>
      </c>
      <c r="I62" s="163" t="e">
        <f t="shared" si="1"/>
        <v>#REF!</v>
      </c>
      <c r="J62" s="163" t="e">
        <f>#REF!</f>
        <v>#REF!</v>
      </c>
      <c r="K62" s="171" t="e">
        <f t="shared" si="2"/>
        <v>#REF!</v>
      </c>
      <c r="L62" s="164">
        <v>-351294.68265159946</v>
      </c>
      <c r="M62" s="184" t="e">
        <f t="shared" si="3"/>
        <v>#REF!</v>
      </c>
      <c r="N62" s="185" t="e">
        <f>M62*13.22%</f>
        <v>#REF!</v>
      </c>
    </row>
    <row r="63" spans="3:18" ht="18.75">
      <c r="C63" s="158">
        <v>6</v>
      </c>
      <c r="D63" s="12" t="s">
        <v>51</v>
      </c>
      <c r="E63" s="159">
        <v>3645.7</v>
      </c>
      <c r="F63" s="163" t="e">
        <f>#REF!</f>
        <v>#REF!</v>
      </c>
      <c r="G63" s="163" t="e">
        <f>#REF!</f>
        <v>#REF!</v>
      </c>
      <c r="H63" s="163">
        <v>29505.54</v>
      </c>
      <c r="I63" s="163" t="e">
        <f t="shared" si="1"/>
        <v>#REF!</v>
      </c>
      <c r="J63" s="163" t="e">
        <f>#REF!</f>
        <v>#REF!</v>
      </c>
      <c r="K63" s="164" t="e">
        <f t="shared" si="2"/>
        <v>#REF!</v>
      </c>
      <c r="L63" s="165">
        <v>-206956.91459146654</v>
      </c>
      <c r="M63" s="184" t="e">
        <f t="shared" si="3"/>
        <v>#REF!</v>
      </c>
      <c r="N63" s="185" t="e">
        <f t="shared" si="4"/>
        <v>#REF!</v>
      </c>
      <c r="O63" s="51"/>
      <c r="P63" s="51"/>
      <c r="Q63" s="51"/>
      <c r="R63" s="51"/>
    </row>
    <row r="64" spans="3:18" ht="18.75">
      <c r="C64" s="158">
        <v>7</v>
      </c>
      <c r="D64" s="12" t="s">
        <v>52</v>
      </c>
      <c r="E64" s="159">
        <v>8242.7000000000007</v>
      </c>
      <c r="F64" s="163" t="e">
        <f>#REF!</f>
        <v>#REF!</v>
      </c>
      <c r="G64" s="163" t="e">
        <f>#REF!</f>
        <v>#REF!</v>
      </c>
      <c r="H64" s="163">
        <v>29811.07</v>
      </c>
      <c r="I64" s="163" t="e">
        <f t="shared" si="1"/>
        <v>#REF!</v>
      </c>
      <c r="J64" s="163" t="e">
        <f>#REF!</f>
        <v>#REF!</v>
      </c>
      <c r="K64" s="164" t="e">
        <f t="shared" si="2"/>
        <v>#REF!</v>
      </c>
      <c r="L64" s="55">
        <v>104082.10386315873</v>
      </c>
      <c r="M64" s="184" t="e">
        <f t="shared" si="3"/>
        <v>#REF!</v>
      </c>
      <c r="N64" s="185" t="e">
        <f t="shared" si="4"/>
        <v>#REF!</v>
      </c>
    </row>
    <row r="65" spans="3:18" ht="18.75">
      <c r="C65" s="158">
        <v>8</v>
      </c>
      <c r="D65" s="12" t="s">
        <v>53</v>
      </c>
      <c r="E65" s="159">
        <v>7234.6</v>
      </c>
      <c r="F65" s="163" t="e">
        <f>#REF!</f>
        <v>#REF!</v>
      </c>
      <c r="G65" s="163" t="e">
        <f>#REF!</f>
        <v>#REF!</v>
      </c>
      <c r="H65" s="163">
        <v>29805.13</v>
      </c>
      <c r="I65" s="163" t="e">
        <f t="shared" si="1"/>
        <v>#REF!</v>
      </c>
      <c r="J65" s="163" t="e">
        <f>#REF!</f>
        <v>#REF!</v>
      </c>
      <c r="K65" s="164" t="e">
        <f t="shared" si="2"/>
        <v>#REF!</v>
      </c>
      <c r="L65" s="165">
        <v>-80036.57281614095</v>
      </c>
      <c r="M65" s="184" t="e">
        <f t="shared" si="3"/>
        <v>#REF!</v>
      </c>
      <c r="N65" s="185" t="e">
        <f t="shared" si="4"/>
        <v>#REF!</v>
      </c>
      <c r="O65" s="51"/>
      <c r="P65" s="51"/>
      <c r="Q65" s="51"/>
      <c r="R65" s="51"/>
    </row>
    <row r="66" spans="3:18" ht="18.75">
      <c r="C66" s="158">
        <v>9</v>
      </c>
      <c r="D66" s="12" t="s">
        <v>54</v>
      </c>
      <c r="E66" s="159">
        <v>5745.36</v>
      </c>
      <c r="F66" s="163" t="e">
        <f>#REF!</f>
        <v>#REF!</v>
      </c>
      <c r="G66" s="163" t="e">
        <f>#REF!</f>
        <v>#REF!</v>
      </c>
      <c r="H66" s="163">
        <v>40588.300000000003</v>
      </c>
      <c r="I66" s="163" t="e">
        <f t="shared" si="1"/>
        <v>#REF!</v>
      </c>
      <c r="J66" s="163" t="e">
        <f>#REF!</f>
        <v>#REF!</v>
      </c>
      <c r="K66" s="164" t="e">
        <f t="shared" si="2"/>
        <v>#REF!</v>
      </c>
      <c r="L66" s="55">
        <v>-115422.07526889956</v>
      </c>
      <c r="M66" s="184" t="e">
        <f t="shared" si="3"/>
        <v>#REF!</v>
      </c>
      <c r="N66" s="185" t="e">
        <f t="shared" si="4"/>
        <v>#REF!</v>
      </c>
    </row>
    <row r="67" spans="3:18" ht="18.75">
      <c r="C67" s="158">
        <v>10</v>
      </c>
      <c r="D67" s="12" t="s">
        <v>55</v>
      </c>
      <c r="E67" s="159">
        <v>5755.42</v>
      </c>
      <c r="F67" s="162" t="e">
        <f>#REF!</f>
        <v>#REF!</v>
      </c>
      <c r="G67" s="162" t="e">
        <f>#REF!</f>
        <v>#REF!</v>
      </c>
      <c r="H67" s="162">
        <v>40558.300000000003</v>
      </c>
      <c r="I67" s="163" t="e">
        <f t="shared" si="1"/>
        <v>#REF!</v>
      </c>
      <c r="J67" s="162" t="e">
        <f>#REF!</f>
        <v>#REF!</v>
      </c>
      <c r="K67" s="164" t="e">
        <f t="shared" si="2"/>
        <v>#REF!</v>
      </c>
      <c r="L67" s="55">
        <v>-75431.277456950396</v>
      </c>
      <c r="M67" s="184" t="e">
        <f t="shared" si="3"/>
        <v>#REF!</v>
      </c>
      <c r="N67" s="185" t="e">
        <f t="shared" si="4"/>
        <v>#REF!</v>
      </c>
    </row>
    <row r="68" spans="3:18" ht="18.75">
      <c r="C68" s="158">
        <v>11</v>
      </c>
      <c r="D68" s="176" t="s">
        <v>56</v>
      </c>
      <c r="E68" s="159">
        <v>5376.08</v>
      </c>
      <c r="F68" s="163" t="e">
        <f>#REF!</f>
        <v>#REF!</v>
      </c>
      <c r="G68" s="163" t="e">
        <f>#REF!</f>
        <v>#REF!</v>
      </c>
      <c r="H68" s="163">
        <v>34584.74</v>
      </c>
      <c r="I68" s="163" t="e">
        <f t="shared" si="1"/>
        <v>#REF!</v>
      </c>
      <c r="J68" s="163" t="e">
        <f>#REF!</f>
        <v>#REF!</v>
      </c>
      <c r="K68" s="164" t="e">
        <f t="shared" si="2"/>
        <v>#REF!</v>
      </c>
      <c r="L68" s="55">
        <v>-157609.5333076478</v>
      </c>
      <c r="M68" s="184" t="e">
        <f t="shared" si="3"/>
        <v>#REF!</v>
      </c>
      <c r="N68" s="185" t="e">
        <f>M68*10.38%</f>
        <v>#REF!</v>
      </c>
    </row>
    <row r="69" spans="3:18" ht="18.75">
      <c r="C69" s="158">
        <v>12</v>
      </c>
      <c r="D69" s="12" t="s">
        <v>57</v>
      </c>
      <c r="E69" s="159">
        <v>5736.67</v>
      </c>
      <c r="F69" s="162" t="e">
        <f>#REF!</f>
        <v>#REF!</v>
      </c>
      <c r="G69" s="162" t="e">
        <f>#REF!</f>
        <v>#REF!</v>
      </c>
      <c r="H69" s="162">
        <v>40588.300000000003</v>
      </c>
      <c r="I69" s="163" t="e">
        <f t="shared" si="1"/>
        <v>#REF!</v>
      </c>
      <c r="J69" s="162" t="e">
        <f>#REF!</f>
        <v>#REF!</v>
      </c>
      <c r="K69" s="164" t="e">
        <f t="shared" si="2"/>
        <v>#REF!</v>
      </c>
      <c r="L69" s="55">
        <v>-18472.820465651806</v>
      </c>
      <c r="M69" s="184" t="e">
        <f t="shared" si="3"/>
        <v>#REF!</v>
      </c>
      <c r="N69" s="185" t="e">
        <f t="shared" si="4"/>
        <v>#REF!</v>
      </c>
    </row>
    <row r="70" spans="3:18" ht="18.75">
      <c r="C70" s="158">
        <v>13</v>
      </c>
      <c r="D70" s="12" t="s">
        <v>58</v>
      </c>
      <c r="E70" s="159">
        <v>5676.9</v>
      </c>
      <c r="F70" s="162" t="e">
        <f>#REF!</f>
        <v>#REF!</v>
      </c>
      <c r="G70" s="162" t="e">
        <f>#REF!</f>
        <v>#REF!</v>
      </c>
      <c r="H70" s="162">
        <v>35904.74</v>
      </c>
      <c r="I70" s="163" t="e">
        <f t="shared" si="1"/>
        <v>#REF!</v>
      </c>
      <c r="J70" s="162" t="e">
        <f>#REF!</f>
        <v>#REF!</v>
      </c>
      <c r="K70" s="164" t="e">
        <f t="shared" si="2"/>
        <v>#REF!</v>
      </c>
      <c r="L70" s="55">
        <v>27990.829659791896</v>
      </c>
      <c r="M70" s="184" t="e">
        <f t="shared" si="3"/>
        <v>#REF!</v>
      </c>
      <c r="N70" s="185" t="e">
        <f t="shared" si="4"/>
        <v>#REF!</v>
      </c>
    </row>
    <row r="71" spans="3:18" ht="18.75">
      <c r="C71" s="158">
        <v>14</v>
      </c>
      <c r="D71" s="12" t="s">
        <v>59</v>
      </c>
      <c r="E71" s="159">
        <v>10517.5</v>
      </c>
      <c r="F71" s="162" t="e">
        <f>#REF!</f>
        <v>#REF!</v>
      </c>
      <c r="G71" s="162" t="e">
        <f>#REF!</f>
        <v>#REF!</v>
      </c>
      <c r="H71" s="162">
        <v>38003.15</v>
      </c>
      <c r="I71" s="163" t="e">
        <f t="shared" si="1"/>
        <v>#REF!</v>
      </c>
      <c r="J71" s="162" t="e">
        <f>#REF!</f>
        <v>#REF!</v>
      </c>
      <c r="K71" s="164" t="e">
        <f t="shared" si="2"/>
        <v>#REF!</v>
      </c>
      <c r="L71" s="55">
        <v>107957.58119023801</v>
      </c>
      <c r="M71" s="184" t="e">
        <f t="shared" si="3"/>
        <v>#REF!</v>
      </c>
      <c r="N71" s="185" t="e">
        <f t="shared" si="4"/>
        <v>#REF!</v>
      </c>
    </row>
    <row r="72" spans="3:18" ht="18.75">
      <c r="C72" s="158">
        <v>15</v>
      </c>
      <c r="D72" s="176" t="s">
        <v>60</v>
      </c>
      <c r="E72" s="159">
        <v>6421.6</v>
      </c>
      <c r="F72" s="162" t="e">
        <f>#REF!</f>
        <v>#REF!</v>
      </c>
      <c r="G72" s="162" t="e">
        <f>#REF!</f>
        <v>#REF!</v>
      </c>
      <c r="H72" s="162">
        <v>213632.06</v>
      </c>
      <c r="I72" s="163" t="e">
        <f t="shared" si="1"/>
        <v>#REF!</v>
      </c>
      <c r="J72" s="162" t="e">
        <f>#REF!</f>
        <v>#REF!</v>
      </c>
      <c r="K72" s="164" t="e">
        <f t="shared" si="2"/>
        <v>#REF!</v>
      </c>
      <c r="L72" s="55">
        <v>401649.21362532559</v>
      </c>
      <c r="M72" s="184" t="e">
        <f t="shared" si="3"/>
        <v>#REF!</v>
      </c>
      <c r="N72" s="185" t="e">
        <f>M72*11.17%</f>
        <v>#REF!</v>
      </c>
    </row>
    <row r="73" spans="3:18" ht="18.75">
      <c r="C73" s="158">
        <v>16</v>
      </c>
      <c r="D73" s="176" t="s">
        <v>61</v>
      </c>
      <c r="E73" s="159">
        <v>6225.33</v>
      </c>
      <c r="F73" s="162">
        <f>'Энергетиков 53'!A24</f>
        <v>1426095</v>
      </c>
      <c r="G73" s="162">
        <f>'Энергетиков 53'!C24</f>
        <v>1412683.07</v>
      </c>
      <c r="H73" s="162">
        <v>279112.06</v>
      </c>
      <c r="I73" s="163">
        <f t="shared" si="1"/>
        <v>-13411.929999999935</v>
      </c>
      <c r="J73" s="162">
        <f>'Энергетиков 53'!G24</f>
        <v>1374709.2985000003</v>
      </c>
      <c r="K73" s="164">
        <f t="shared" si="2"/>
        <v>317085.83149999985</v>
      </c>
      <c r="L73" s="55">
        <v>-178466.513884468</v>
      </c>
      <c r="M73" s="184">
        <f t="shared" si="3"/>
        <v>138619.31761553185</v>
      </c>
      <c r="N73" s="185">
        <f>M73*11.19%</f>
        <v>15511.501641178014</v>
      </c>
    </row>
    <row r="74" spans="3:18" ht="18.75">
      <c r="C74" s="158">
        <v>17</v>
      </c>
      <c r="D74" s="12" t="s">
        <v>62</v>
      </c>
      <c r="E74" s="159">
        <v>3781.1</v>
      </c>
      <c r="F74" s="162" t="e">
        <f>#REF!</f>
        <v>#REF!</v>
      </c>
      <c r="G74" s="162" t="e">
        <f>#REF!</f>
        <v>#REF!</v>
      </c>
      <c r="H74" s="162">
        <v>54393.54</v>
      </c>
      <c r="I74" s="163" t="e">
        <f t="shared" si="1"/>
        <v>#REF!</v>
      </c>
      <c r="J74" s="162" t="e">
        <f>#REF!</f>
        <v>#REF!</v>
      </c>
      <c r="K74" s="164" t="e">
        <f t="shared" si="2"/>
        <v>#REF!</v>
      </c>
      <c r="L74" s="55">
        <v>-35189.539811228053</v>
      </c>
      <c r="M74" s="184" t="e">
        <f t="shared" si="3"/>
        <v>#REF!</v>
      </c>
      <c r="N74" s="185" t="e">
        <f t="shared" si="4"/>
        <v>#REF!</v>
      </c>
    </row>
    <row r="75" spans="3:18" ht="18.75">
      <c r="C75" s="158">
        <v>18</v>
      </c>
      <c r="D75" s="176" t="s">
        <v>63</v>
      </c>
      <c r="E75" s="159">
        <v>3641.11</v>
      </c>
      <c r="F75" s="162" t="e">
        <f>#REF!</f>
        <v>#REF!</v>
      </c>
      <c r="G75" s="162" t="e">
        <f>#REF!</f>
        <v>#REF!</v>
      </c>
      <c r="H75" s="162">
        <v>33825.54</v>
      </c>
      <c r="I75" s="163" t="e">
        <f t="shared" si="1"/>
        <v>#REF!</v>
      </c>
      <c r="J75" s="162" t="e">
        <f>#REF!</f>
        <v>#REF!</v>
      </c>
      <c r="K75" s="171" t="e">
        <f t="shared" si="2"/>
        <v>#REF!</v>
      </c>
      <c r="L75" s="55">
        <v>-244578.09256075241</v>
      </c>
      <c r="M75" s="184" t="e">
        <f t="shared" si="3"/>
        <v>#REF!</v>
      </c>
      <c r="N75" s="185" t="e">
        <f>M75*10.38%</f>
        <v>#REF!</v>
      </c>
    </row>
    <row r="76" spans="3:18" ht="18.75">
      <c r="C76" s="158">
        <v>19</v>
      </c>
      <c r="D76" s="12" t="s">
        <v>64</v>
      </c>
      <c r="E76" s="159">
        <v>5477.19</v>
      </c>
      <c r="F76" s="162" t="e">
        <f>#REF!</f>
        <v>#REF!</v>
      </c>
      <c r="G76" s="162" t="e">
        <f>#REF!</f>
        <v>#REF!</v>
      </c>
      <c r="H76" s="162">
        <v>31708.3</v>
      </c>
      <c r="I76" s="163" t="e">
        <f t="shared" si="1"/>
        <v>#REF!</v>
      </c>
      <c r="J76" s="162" t="e">
        <f>#REF!</f>
        <v>#REF!</v>
      </c>
      <c r="K76" s="171" t="e">
        <f t="shared" si="2"/>
        <v>#REF!</v>
      </c>
      <c r="L76" s="55">
        <v>7778.2101726328256</v>
      </c>
      <c r="M76" s="184" t="e">
        <f t="shared" si="3"/>
        <v>#REF!</v>
      </c>
      <c r="N76" s="185" t="e">
        <f t="shared" si="4"/>
        <v>#REF!</v>
      </c>
    </row>
    <row r="77" spans="3:18" ht="18.75">
      <c r="C77" s="158">
        <v>20</v>
      </c>
      <c r="D77" s="12" t="s">
        <v>65</v>
      </c>
      <c r="E77" s="159">
        <v>7276.2</v>
      </c>
      <c r="F77" s="162" t="e">
        <f>#REF!</f>
        <v>#REF!</v>
      </c>
      <c r="G77" s="162" t="e">
        <f>#REF!</f>
        <v>#REF!</v>
      </c>
      <c r="H77" s="162">
        <v>38811.07</v>
      </c>
      <c r="I77" s="163" t="e">
        <f t="shared" si="1"/>
        <v>#REF!</v>
      </c>
      <c r="J77" s="162" t="e">
        <f>#REF!</f>
        <v>#REF!</v>
      </c>
      <c r="K77" s="164" t="e">
        <f t="shared" si="2"/>
        <v>#REF!</v>
      </c>
      <c r="L77" s="55">
        <v>57805.457193288719</v>
      </c>
      <c r="M77" s="184" t="e">
        <f t="shared" si="3"/>
        <v>#REF!</v>
      </c>
      <c r="N77" s="185" t="e">
        <f t="shared" si="4"/>
        <v>#REF!</v>
      </c>
    </row>
    <row r="78" spans="3:18" ht="18.75">
      <c r="C78" s="158">
        <v>21</v>
      </c>
      <c r="D78" s="12" t="s">
        <v>66</v>
      </c>
      <c r="E78" s="159">
        <v>11395.2</v>
      </c>
      <c r="F78" s="162" t="e">
        <f>#REF!</f>
        <v>#REF!</v>
      </c>
      <c r="G78" s="162" t="e">
        <f>#REF!</f>
        <v>#REF!</v>
      </c>
      <c r="H78" s="162">
        <v>99208.61</v>
      </c>
      <c r="I78" s="163" t="e">
        <f t="shared" si="1"/>
        <v>#REF!</v>
      </c>
      <c r="J78" s="162" t="e">
        <f>#REF!</f>
        <v>#REF!</v>
      </c>
      <c r="K78" s="164" t="e">
        <f t="shared" si="2"/>
        <v>#REF!</v>
      </c>
      <c r="L78" s="55">
        <v>-21017.393310387619</v>
      </c>
      <c r="M78" s="184" t="e">
        <f t="shared" si="3"/>
        <v>#REF!</v>
      </c>
      <c r="N78" s="185" t="e">
        <f t="shared" si="4"/>
        <v>#REF!</v>
      </c>
    </row>
    <row r="79" spans="3:18" ht="18.75">
      <c r="C79" s="158">
        <v>22</v>
      </c>
      <c r="D79" s="12" t="s">
        <v>67</v>
      </c>
      <c r="E79" s="159">
        <v>5370.99</v>
      </c>
      <c r="F79" s="162" t="e">
        <f>#REF!</f>
        <v>#REF!</v>
      </c>
      <c r="G79" s="162" t="e">
        <f>#REF!</f>
        <v>#REF!</v>
      </c>
      <c r="H79" s="162">
        <v>15128.3</v>
      </c>
      <c r="I79" s="163" t="e">
        <f t="shared" si="1"/>
        <v>#REF!</v>
      </c>
      <c r="J79" s="162" t="e">
        <f>#REF!</f>
        <v>#REF!</v>
      </c>
      <c r="K79" s="171" t="e">
        <f t="shared" si="2"/>
        <v>#REF!</v>
      </c>
      <c r="L79" s="55">
        <v>-419432.68264613696</v>
      </c>
      <c r="M79" s="184" t="e">
        <f t="shared" si="3"/>
        <v>#REF!</v>
      </c>
      <c r="N79" s="185" t="e">
        <f t="shared" si="4"/>
        <v>#REF!</v>
      </c>
    </row>
    <row r="80" spans="3:18" ht="18.75">
      <c r="C80" s="158">
        <v>23</v>
      </c>
      <c r="D80" s="12" t="s">
        <v>68</v>
      </c>
      <c r="E80" s="159">
        <v>5306.36</v>
      </c>
      <c r="F80" s="162" t="e">
        <f>#REF!</f>
        <v>#REF!</v>
      </c>
      <c r="G80" s="162" t="e">
        <f>#REF!</f>
        <v>#REF!</v>
      </c>
      <c r="H80" s="162">
        <v>15106.92</v>
      </c>
      <c r="I80" s="163" t="e">
        <f t="shared" si="1"/>
        <v>#REF!</v>
      </c>
      <c r="J80" s="162" t="e">
        <f>#REF!</f>
        <v>#REF!</v>
      </c>
      <c r="K80" s="164" t="e">
        <f t="shared" si="2"/>
        <v>#REF!</v>
      </c>
      <c r="L80" s="55">
        <v>-199306.65742934775</v>
      </c>
      <c r="M80" s="184" t="e">
        <f t="shared" si="3"/>
        <v>#REF!</v>
      </c>
      <c r="N80" s="185" t="e">
        <f t="shared" si="4"/>
        <v>#REF!</v>
      </c>
    </row>
    <row r="81" spans="3:14" ht="18.75">
      <c r="C81" s="158">
        <v>24</v>
      </c>
      <c r="D81" s="12" t="s">
        <v>69</v>
      </c>
      <c r="E81" s="159">
        <v>5284.1</v>
      </c>
      <c r="F81" s="162" t="e">
        <f>#REF!</f>
        <v>#REF!</v>
      </c>
      <c r="G81" s="162" t="e">
        <f>#REF!</f>
        <v>#REF!</v>
      </c>
      <c r="H81" s="162">
        <v>17266.919999999998</v>
      </c>
      <c r="I81" s="163" t="e">
        <f t="shared" si="1"/>
        <v>#REF!</v>
      </c>
      <c r="J81" s="162" t="e">
        <f>#REF!</f>
        <v>#REF!</v>
      </c>
      <c r="K81" s="171" t="e">
        <f t="shared" si="2"/>
        <v>#REF!</v>
      </c>
      <c r="L81" s="55">
        <v>-170813.98398627655</v>
      </c>
      <c r="M81" s="184" t="e">
        <f t="shared" si="3"/>
        <v>#REF!</v>
      </c>
      <c r="N81" s="185" t="e">
        <f t="shared" si="4"/>
        <v>#REF!</v>
      </c>
    </row>
    <row r="82" spans="3:14" ht="18.75">
      <c r="C82" s="158">
        <v>25</v>
      </c>
      <c r="D82" s="12" t="s">
        <v>70</v>
      </c>
      <c r="E82" s="159">
        <v>4910.4399999999996</v>
      </c>
      <c r="F82" s="162" t="e">
        <f>#REF!</f>
        <v>#REF!</v>
      </c>
      <c r="G82" s="162" t="e">
        <f>#REF!</f>
        <v>#REF!</v>
      </c>
      <c r="H82" s="162">
        <v>23329.88</v>
      </c>
      <c r="I82" s="163" t="e">
        <f t="shared" si="1"/>
        <v>#REF!</v>
      </c>
      <c r="J82" s="162" t="e">
        <f>#REF!</f>
        <v>#REF!</v>
      </c>
      <c r="K82" s="164" t="e">
        <f t="shared" si="2"/>
        <v>#REF!</v>
      </c>
      <c r="L82" s="55">
        <v>27507.533180755796</v>
      </c>
      <c r="M82" s="184" t="e">
        <f t="shared" si="3"/>
        <v>#REF!</v>
      </c>
      <c r="N82" s="185" t="e">
        <f t="shared" si="4"/>
        <v>#REF!</v>
      </c>
    </row>
    <row r="83" spans="3:14" ht="18.75">
      <c r="C83" s="158">
        <v>26</v>
      </c>
      <c r="D83" s="12" t="s">
        <v>71</v>
      </c>
      <c r="E83" s="159">
        <v>4954.4399999999996</v>
      </c>
      <c r="F83" s="162" t="e">
        <f>#REF!</f>
        <v>#REF!</v>
      </c>
      <c r="G83" s="162" t="e">
        <f>#REF!</f>
        <v>#REF!</v>
      </c>
      <c r="H83" s="162">
        <v>32398.799999999999</v>
      </c>
      <c r="I83" s="163" t="e">
        <f t="shared" si="1"/>
        <v>#REF!</v>
      </c>
      <c r="J83" s="162" t="e">
        <f>#REF!</f>
        <v>#REF!</v>
      </c>
      <c r="K83" s="171" t="e">
        <f t="shared" si="2"/>
        <v>#REF!</v>
      </c>
      <c r="L83" s="55">
        <v>-209933.27632935927</v>
      </c>
      <c r="M83" s="184" t="e">
        <f t="shared" si="3"/>
        <v>#REF!</v>
      </c>
      <c r="N83" s="185" t="e">
        <f t="shared" si="4"/>
        <v>#REF!</v>
      </c>
    </row>
    <row r="84" spans="3:14" ht="18.75">
      <c r="C84" s="158">
        <v>27</v>
      </c>
      <c r="D84" s="12" t="s">
        <v>72</v>
      </c>
      <c r="E84" s="159">
        <v>5196.72</v>
      </c>
      <c r="F84" s="162" t="e">
        <f>#REF!</f>
        <v>#REF!</v>
      </c>
      <c r="G84" s="162" t="e">
        <f>#REF!</f>
        <v>#REF!</v>
      </c>
      <c r="H84" s="162">
        <v>19093.060000000001</v>
      </c>
      <c r="I84" s="163" t="e">
        <f t="shared" si="1"/>
        <v>#REF!</v>
      </c>
      <c r="J84" s="162" t="e">
        <f>#REF!</f>
        <v>#REF!</v>
      </c>
      <c r="K84" s="164" t="e">
        <f t="shared" si="2"/>
        <v>#REF!</v>
      </c>
      <c r="L84" s="55">
        <v>41884.886406134698</v>
      </c>
      <c r="M84" s="184" t="e">
        <f t="shared" si="3"/>
        <v>#REF!</v>
      </c>
      <c r="N84" s="185" t="e">
        <f t="shared" si="4"/>
        <v>#REF!</v>
      </c>
    </row>
    <row r="85" spans="3:14" ht="18.75">
      <c r="C85" s="158">
        <v>28</v>
      </c>
      <c r="D85" s="12" t="s">
        <v>73</v>
      </c>
      <c r="E85" s="159">
        <v>5430.5</v>
      </c>
      <c r="F85" s="162" t="e">
        <f>#REF!</f>
        <v>#REF!</v>
      </c>
      <c r="G85" s="162" t="e">
        <f>#REF!</f>
        <v>#REF!</v>
      </c>
      <c r="H85" s="162">
        <v>29408.3</v>
      </c>
      <c r="I85" s="163" t="e">
        <f t="shared" si="1"/>
        <v>#REF!</v>
      </c>
      <c r="J85" s="162" t="e">
        <f>#REF!</f>
        <v>#REF!</v>
      </c>
      <c r="K85" s="171" t="e">
        <f t="shared" si="2"/>
        <v>#REF!</v>
      </c>
      <c r="L85" s="55">
        <v>-612405.47908356669</v>
      </c>
      <c r="M85" s="184" t="e">
        <f t="shared" si="3"/>
        <v>#REF!</v>
      </c>
      <c r="N85" s="185" t="e">
        <f t="shared" si="4"/>
        <v>#REF!</v>
      </c>
    </row>
    <row r="86" spans="3:14" ht="18.75">
      <c r="C86" s="158"/>
      <c r="D86" s="160"/>
      <c r="E86" s="173">
        <f>SUM(E58:E85)</f>
        <v>167326.49</v>
      </c>
      <c r="F86" s="172" t="e">
        <f>SUM(F58:F85)</f>
        <v>#REF!</v>
      </c>
      <c r="G86" s="172"/>
      <c r="H86" s="172">
        <f>SUM(H58:H85)</f>
        <v>1386600.6700000002</v>
      </c>
      <c r="I86" s="172" t="e">
        <f>SUM(I58:I85)</f>
        <v>#REF!</v>
      </c>
      <c r="J86" s="172" t="e">
        <f>SUM(J58:J85)</f>
        <v>#REF!</v>
      </c>
      <c r="K86" s="172" t="e">
        <f>SUM(K58:K85)</f>
        <v>#REF!</v>
      </c>
      <c r="L86" s="186">
        <v>-2038261.8529390299</v>
      </c>
      <c r="M86" s="187" t="e">
        <f>SUM(M58:M85)</f>
        <v>#REF!</v>
      </c>
      <c r="N86" s="187"/>
    </row>
    <row r="89" spans="3:14">
      <c r="F89" s="189" t="s">
        <v>164</v>
      </c>
      <c r="G89" s="189"/>
      <c r="H89" s="189"/>
      <c r="I89" s="189"/>
      <c r="J89" s="51"/>
      <c r="K89" s="51"/>
    </row>
    <row r="90" spans="3:14">
      <c r="F90" s="190"/>
      <c r="G90" s="190"/>
      <c r="H90" s="190"/>
      <c r="I90" s="190"/>
      <c r="J90" s="51"/>
      <c r="K90" s="51"/>
    </row>
    <row r="91" spans="3:14" ht="135">
      <c r="C91" s="152" t="s">
        <v>14</v>
      </c>
      <c r="D91" s="153" t="s">
        <v>28</v>
      </c>
      <c r="E91" s="154" t="s">
        <v>29</v>
      </c>
      <c r="F91" s="155" t="s">
        <v>124</v>
      </c>
      <c r="G91" s="156" t="s">
        <v>126</v>
      </c>
      <c r="H91" s="156" t="s">
        <v>127</v>
      </c>
      <c r="I91" s="156" t="s">
        <v>128</v>
      </c>
      <c r="J91" s="157" t="s">
        <v>125</v>
      </c>
      <c r="K91" s="157" t="s">
        <v>129</v>
      </c>
    </row>
    <row r="92" spans="3:14" ht="18.75">
      <c r="C92" s="158">
        <v>1</v>
      </c>
      <c r="D92" s="11" t="s">
        <v>46</v>
      </c>
      <c r="E92" s="159">
        <v>9509.18</v>
      </c>
      <c r="F92" s="163">
        <v>1762008.9299999997</v>
      </c>
      <c r="G92" s="163">
        <v>1660765.25</v>
      </c>
      <c r="H92" s="163">
        <v>51166.080000000002</v>
      </c>
      <c r="I92" s="163">
        <v>-101243.6799999997</v>
      </c>
      <c r="J92" s="163">
        <v>1927795.0927149106</v>
      </c>
      <c r="K92" s="164">
        <v>-215863.76271491055</v>
      </c>
    </row>
    <row r="93" spans="3:14" ht="18.75">
      <c r="C93" s="158">
        <v>2</v>
      </c>
      <c r="D93" s="11" t="s">
        <v>47</v>
      </c>
      <c r="E93" s="159">
        <v>2191.1</v>
      </c>
      <c r="F93" s="163">
        <v>405967.08</v>
      </c>
      <c r="G93" s="163">
        <v>518381.08</v>
      </c>
      <c r="H93" s="163">
        <v>16473.240000000002</v>
      </c>
      <c r="I93" s="163">
        <v>112414</v>
      </c>
      <c r="J93" s="163">
        <v>382229.55003245716</v>
      </c>
      <c r="K93" s="164">
        <v>152624.7699675429</v>
      </c>
    </row>
    <row r="94" spans="3:14" ht="18.75">
      <c r="C94" s="158">
        <v>3</v>
      </c>
      <c r="D94" s="12" t="s">
        <v>48</v>
      </c>
      <c r="E94" s="159">
        <v>7702.2</v>
      </c>
      <c r="F94" s="163">
        <v>1427063.04</v>
      </c>
      <c r="G94" s="163">
        <v>1402873.2</v>
      </c>
      <c r="H94" s="163">
        <v>40332.839999999997</v>
      </c>
      <c r="I94" s="163">
        <v>-24189.840000000084</v>
      </c>
      <c r="J94" s="163">
        <v>1383403.6060700065</v>
      </c>
      <c r="K94" s="164">
        <v>59802.433929993538</v>
      </c>
    </row>
    <row r="95" spans="3:14" ht="18.75">
      <c r="C95" s="158">
        <v>4</v>
      </c>
      <c r="D95" s="12" t="s">
        <v>49</v>
      </c>
      <c r="E95" s="159">
        <v>5475.7</v>
      </c>
      <c r="F95" s="163">
        <v>1014539.22</v>
      </c>
      <c r="G95" s="163">
        <v>1008317.28</v>
      </c>
      <c r="H95" s="163">
        <v>35456.879999999997</v>
      </c>
      <c r="I95" s="163">
        <v>-6221.9399999999441</v>
      </c>
      <c r="J95" s="163">
        <v>1104168.7844976156</v>
      </c>
      <c r="K95" s="164">
        <v>-60394.624497615616</v>
      </c>
    </row>
    <row r="96" spans="3:14" ht="18.75">
      <c r="C96" s="158">
        <v>5</v>
      </c>
      <c r="D96" s="12" t="s">
        <v>50</v>
      </c>
      <c r="E96" s="159">
        <v>3846.1</v>
      </c>
      <c r="F96" s="163">
        <v>409507.27</v>
      </c>
      <c r="G96" s="163">
        <v>378379.00999999995</v>
      </c>
      <c r="H96" s="163">
        <v>7126.2</v>
      </c>
      <c r="I96" s="163">
        <v>-31128.260000000068</v>
      </c>
      <c r="J96" s="163">
        <v>559260.96868076257</v>
      </c>
      <c r="K96" s="164">
        <v>-173755.75868076261</v>
      </c>
    </row>
    <row r="97" spans="3:11" ht="18.75">
      <c r="C97" s="158">
        <v>6</v>
      </c>
      <c r="D97" s="12" t="s">
        <v>51</v>
      </c>
      <c r="E97" s="159">
        <v>3645.7</v>
      </c>
      <c r="F97" s="163">
        <v>672275.27999999991</v>
      </c>
      <c r="G97" s="163">
        <v>664609.1</v>
      </c>
      <c r="H97" s="163">
        <v>23946.48</v>
      </c>
      <c r="I97" s="163">
        <v>-7666.1799999999348</v>
      </c>
      <c r="J97" s="163">
        <v>756850.84895866411</v>
      </c>
      <c r="K97" s="165">
        <v>-68295.26895866415</v>
      </c>
    </row>
    <row r="98" spans="3:11" ht="18.75">
      <c r="C98" s="158">
        <v>7</v>
      </c>
      <c r="D98" s="12" t="s">
        <v>52</v>
      </c>
      <c r="E98" s="159">
        <v>8242.7000000000007</v>
      </c>
      <c r="F98" s="163">
        <v>1527217.68</v>
      </c>
      <c r="G98" s="163">
        <v>1527058.5999999999</v>
      </c>
      <c r="H98" s="163">
        <v>31692.84</v>
      </c>
      <c r="I98" s="163">
        <v>-159.08000000007451</v>
      </c>
      <c r="J98" s="163">
        <v>1464172.9526048717</v>
      </c>
      <c r="K98" s="55">
        <v>94578.487395128235</v>
      </c>
    </row>
    <row r="99" spans="3:11" ht="18.75">
      <c r="C99" s="158">
        <v>8</v>
      </c>
      <c r="D99" s="12" t="s">
        <v>53</v>
      </c>
      <c r="E99" s="159">
        <v>7234.6</v>
      </c>
      <c r="F99" s="163">
        <v>1340431.5</v>
      </c>
      <c r="G99" s="163">
        <v>1328617.23</v>
      </c>
      <c r="H99" s="163">
        <v>31621.56</v>
      </c>
      <c r="I99" s="163">
        <v>-11814.270000000019</v>
      </c>
      <c r="J99" s="163">
        <v>1427316.5051639881</v>
      </c>
      <c r="K99" s="165">
        <v>-67077.715163988061</v>
      </c>
    </row>
    <row r="100" spans="3:11" ht="18.75">
      <c r="C100" s="158">
        <v>9</v>
      </c>
      <c r="D100" s="12" t="s">
        <v>54</v>
      </c>
      <c r="E100" s="159">
        <v>5745.36</v>
      </c>
      <c r="F100" s="163">
        <v>1064406.57</v>
      </c>
      <c r="G100" s="163">
        <v>1063909.0299999998</v>
      </c>
      <c r="H100" s="163">
        <v>35499.599999999999</v>
      </c>
      <c r="I100" s="163">
        <v>-497.54000000027008</v>
      </c>
      <c r="J100" s="163">
        <v>1195055.836572716</v>
      </c>
      <c r="K100" s="55">
        <v>-95647.206572716124</v>
      </c>
    </row>
    <row r="101" spans="3:11" ht="18.75">
      <c r="C101" s="158">
        <v>10</v>
      </c>
      <c r="D101" s="12" t="s">
        <v>55</v>
      </c>
      <c r="E101" s="159">
        <v>5755.42</v>
      </c>
      <c r="F101" s="162">
        <v>1066367.1300000001</v>
      </c>
      <c r="G101" s="162">
        <v>1050148.2</v>
      </c>
      <c r="H101" s="162">
        <v>35499.599999999999</v>
      </c>
      <c r="I101" s="162">
        <v>-16218.930000000168</v>
      </c>
      <c r="J101" s="162">
        <v>1188913.4315017932</v>
      </c>
      <c r="K101" s="55">
        <v>-103265.63150179316</v>
      </c>
    </row>
    <row r="102" spans="3:11" ht="18.75">
      <c r="C102" s="158">
        <v>11</v>
      </c>
      <c r="D102" s="12" t="s">
        <v>56</v>
      </c>
      <c r="E102" s="159">
        <v>5376.08</v>
      </c>
      <c r="F102" s="163">
        <v>890792.77</v>
      </c>
      <c r="G102" s="163">
        <v>884872.7</v>
      </c>
      <c r="H102" s="163">
        <v>29456.880000000001</v>
      </c>
      <c r="I102" s="163">
        <v>-5920.0700000000652</v>
      </c>
      <c r="J102" s="163">
        <v>977489.30453128205</v>
      </c>
      <c r="K102" s="55">
        <v>-63159.724531282089</v>
      </c>
    </row>
    <row r="103" spans="3:11" ht="18.75">
      <c r="C103" s="158">
        <v>12</v>
      </c>
      <c r="D103" s="12" t="s">
        <v>57</v>
      </c>
      <c r="E103" s="159">
        <v>5736.67</v>
      </c>
      <c r="F103" s="162">
        <v>1055502.03</v>
      </c>
      <c r="G103" s="162">
        <v>1055479.54</v>
      </c>
      <c r="H103" s="162">
        <v>35499.599999999999</v>
      </c>
      <c r="I103" s="162">
        <v>-22.489999999990687</v>
      </c>
      <c r="J103" s="162">
        <v>1071157.0769771785</v>
      </c>
      <c r="K103" s="55">
        <v>19822.063022821676</v>
      </c>
    </row>
    <row r="104" spans="3:11" ht="18.75">
      <c r="C104" s="158">
        <v>13</v>
      </c>
      <c r="D104" s="12" t="s">
        <v>58</v>
      </c>
      <c r="E104" s="159">
        <v>5676.9</v>
      </c>
      <c r="F104" s="162">
        <v>1051816.53</v>
      </c>
      <c r="G104" s="162">
        <v>1045502.31</v>
      </c>
      <c r="H104" s="162">
        <v>31856.880000000001</v>
      </c>
      <c r="I104" s="162">
        <v>-6314.2199999999721</v>
      </c>
      <c r="J104" s="162">
        <v>1101605.8334759965</v>
      </c>
      <c r="K104" s="55">
        <v>-24246.643475996563</v>
      </c>
    </row>
    <row r="105" spans="3:11" ht="18.75">
      <c r="C105" s="158">
        <v>14</v>
      </c>
      <c r="D105" s="12" t="s">
        <v>59</v>
      </c>
      <c r="E105" s="159">
        <v>10517.5</v>
      </c>
      <c r="F105" s="162">
        <v>1948685.6400000001</v>
      </c>
      <c r="G105" s="162">
        <v>1935183.4100000001</v>
      </c>
      <c r="H105" s="162">
        <v>40237.800000000003</v>
      </c>
      <c r="I105" s="162">
        <v>-13502.229999999981</v>
      </c>
      <c r="J105" s="162">
        <v>1950004.7128037827</v>
      </c>
      <c r="K105" s="55">
        <v>25416.497196217533</v>
      </c>
    </row>
    <row r="106" spans="3:11" ht="18.75">
      <c r="C106" s="158">
        <v>15</v>
      </c>
      <c r="D106" s="12" t="s">
        <v>60</v>
      </c>
      <c r="E106" s="159">
        <v>6421.6</v>
      </c>
      <c r="F106" s="162">
        <v>1406328.51</v>
      </c>
      <c r="G106" s="162">
        <v>1445138.5999999999</v>
      </c>
      <c r="H106" s="162">
        <v>215304.72</v>
      </c>
      <c r="I106" s="162">
        <v>38810.089999999851</v>
      </c>
      <c r="J106" s="162">
        <v>1469288.623930644</v>
      </c>
      <c r="K106" s="55">
        <v>191154.69606935582</v>
      </c>
    </row>
    <row r="107" spans="3:11" ht="18.75">
      <c r="C107" s="158">
        <v>16</v>
      </c>
      <c r="D107" s="12" t="s">
        <v>61</v>
      </c>
      <c r="E107" s="159">
        <v>6225.33</v>
      </c>
      <c r="F107" s="162">
        <v>1363345.8599999999</v>
      </c>
      <c r="G107" s="162">
        <v>1361835.5999999999</v>
      </c>
      <c r="H107" s="162">
        <v>259584.72</v>
      </c>
      <c r="I107" s="162">
        <v>-1510.2600000000093</v>
      </c>
      <c r="J107" s="162">
        <v>1428859.3225853224</v>
      </c>
      <c r="K107" s="55">
        <v>192560.9974146774</v>
      </c>
    </row>
    <row r="108" spans="3:11" ht="18.75">
      <c r="C108" s="158">
        <v>17</v>
      </c>
      <c r="D108" s="12" t="s">
        <v>62</v>
      </c>
      <c r="E108" s="159">
        <v>3781.1</v>
      </c>
      <c r="F108" s="162">
        <v>700562.76</v>
      </c>
      <c r="G108" s="162">
        <v>704320.37999999989</v>
      </c>
      <c r="H108" s="162">
        <v>48834.48</v>
      </c>
      <c r="I108" s="162">
        <v>3757.6199999998789</v>
      </c>
      <c r="J108" s="162">
        <v>785370.05140236567</v>
      </c>
      <c r="K108" s="55">
        <v>-32215.191402365803</v>
      </c>
    </row>
    <row r="109" spans="3:11" ht="18.75">
      <c r="C109" s="158">
        <v>18</v>
      </c>
      <c r="D109" s="12" t="s">
        <v>63</v>
      </c>
      <c r="E109" s="159">
        <v>3641.11</v>
      </c>
      <c r="F109" s="162">
        <v>603297.93000000005</v>
      </c>
      <c r="G109" s="162">
        <v>607473.02</v>
      </c>
      <c r="H109" s="162">
        <v>28266.48</v>
      </c>
      <c r="I109" s="162">
        <v>4175.0899999999674</v>
      </c>
      <c r="J109" s="162">
        <v>700224.27053018124</v>
      </c>
      <c r="K109" s="55">
        <v>-64484.770530181238</v>
      </c>
    </row>
    <row r="110" spans="3:11" ht="18.75">
      <c r="C110" s="158">
        <v>19</v>
      </c>
      <c r="D110" s="12" t="s">
        <v>64</v>
      </c>
      <c r="E110" s="159">
        <v>5477.19</v>
      </c>
      <c r="F110" s="162">
        <v>1014982.8099999999</v>
      </c>
      <c r="G110" s="162">
        <v>1030443.1699999999</v>
      </c>
      <c r="H110" s="162">
        <v>25899.599999999999</v>
      </c>
      <c r="I110" s="162">
        <v>15460.359999999986</v>
      </c>
      <c r="J110" s="162">
        <v>984007.42106808152</v>
      </c>
      <c r="K110" s="55">
        <v>72335.348931918503</v>
      </c>
    </row>
    <row r="111" spans="3:11" ht="18.75">
      <c r="C111" s="158">
        <v>20</v>
      </c>
      <c r="D111" s="12" t="s">
        <v>65</v>
      </c>
      <c r="E111" s="159">
        <v>7276.2</v>
      </c>
      <c r="F111" s="162">
        <v>1348137.15</v>
      </c>
      <c r="G111" s="162">
        <v>1350093.8800000001</v>
      </c>
      <c r="H111" s="162">
        <v>40692.839999999997</v>
      </c>
      <c r="I111" s="162">
        <v>1956.7300000002142</v>
      </c>
      <c r="J111" s="162">
        <v>1301866.6604199554</v>
      </c>
      <c r="K111" s="55">
        <v>88920.059580044821</v>
      </c>
    </row>
    <row r="112" spans="3:11" ht="18.75">
      <c r="C112" s="158">
        <v>21</v>
      </c>
      <c r="D112" s="12" t="s">
        <v>66</v>
      </c>
      <c r="E112" s="159">
        <v>11395.2</v>
      </c>
      <c r="F112" s="162">
        <v>2111304.7200000002</v>
      </c>
      <c r="G112" s="162">
        <v>2105999.25</v>
      </c>
      <c r="H112" s="162">
        <v>102031.32</v>
      </c>
      <c r="I112" s="162">
        <v>-5305.4700000002049</v>
      </c>
      <c r="J112" s="162">
        <v>2276756.3743461529</v>
      </c>
      <c r="K112" s="55">
        <v>-68725.804346153047</v>
      </c>
    </row>
    <row r="113" spans="3:11" ht="18.75">
      <c r="C113" s="158">
        <v>22</v>
      </c>
      <c r="D113" s="12" t="s">
        <v>67</v>
      </c>
      <c r="E113" s="159">
        <v>5370.99</v>
      </c>
      <c r="F113" s="162">
        <v>957920.11</v>
      </c>
      <c r="G113" s="162">
        <v>977458.2799999998</v>
      </c>
      <c r="H113" s="162">
        <v>20859.599999999999</v>
      </c>
      <c r="I113" s="162">
        <v>19538.169999999809</v>
      </c>
      <c r="J113" s="162">
        <v>1042639.6064482802</v>
      </c>
      <c r="K113" s="55">
        <v>-44321.726448280388</v>
      </c>
    </row>
    <row r="114" spans="3:11" ht="18.75">
      <c r="C114" s="158">
        <v>23</v>
      </c>
      <c r="D114" s="12" t="s">
        <v>68</v>
      </c>
      <c r="E114" s="159">
        <v>5306.36</v>
      </c>
      <c r="F114" s="162">
        <v>945462.28</v>
      </c>
      <c r="G114" s="162">
        <v>937194.97000000009</v>
      </c>
      <c r="H114" s="162">
        <v>20603.84</v>
      </c>
      <c r="I114" s="162">
        <v>-8267.3099999999395</v>
      </c>
      <c r="J114" s="162">
        <v>1030989.779905175</v>
      </c>
      <c r="K114" s="55">
        <v>-73190.969905174919</v>
      </c>
    </row>
    <row r="115" spans="3:11" ht="18.75">
      <c r="C115" s="158">
        <v>24</v>
      </c>
      <c r="D115" s="12" t="s">
        <v>69</v>
      </c>
      <c r="E115" s="159">
        <v>5284.1</v>
      </c>
      <c r="F115" s="162">
        <v>937715.53</v>
      </c>
      <c r="G115" s="162">
        <v>1016178.34</v>
      </c>
      <c r="H115" s="162">
        <v>22763.040000000001</v>
      </c>
      <c r="I115" s="162">
        <v>78462.809999999939</v>
      </c>
      <c r="J115" s="162">
        <v>1036417.7328859963</v>
      </c>
      <c r="K115" s="55">
        <v>2523.6471140036592</v>
      </c>
    </row>
    <row r="116" spans="3:11" ht="18.75">
      <c r="C116" s="158">
        <v>25</v>
      </c>
      <c r="D116" s="12" t="s">
        <v>70</v>
      </c>
      <c r="E116" s="159">
        <v>4910.4399999999996</v>
      </c>
      <c r="F116" s="162">
        <v>909807.54</v>
      </c>
      <c r="G116" s="162">
        <v>925105.38</v>
      </c>
      <c r="H116" s="162">
        <v>25198.560000000001</v>
      </c>
      <c r="I116" s="162">
        <v>15297.839999999967</v>
      </c>
      <c r="J116" s="162">
        <v>874220.79267097719</v>
      </c>
      <c r="K116" s="55">
        <v>76083.147329022875</v>
      </c>
    </row>
    <row r="117" spans="3:11" ht="18.75">
      <c r="C117" s="158">
        <v>26</v>
      </c>
      <c r="D117" s="12" t="s">
        <v>71</v>
      </c>
      <c r="E117" s="159">
        <v>4954.4399999999996</v>
      </c>
      <c r="F117" s="162">
        <v>917949.62999999989</v>
      </c>
      <c r="G117" s="162">
        <v>949426.34999999986</v>
      </c>
      <c r="H117" s="162">
        <v>30705.599999999999</v>
      </c>
      <c r="I117" s="162">
        <v>31476.719999999972</v>
      </c>
      <c r="J117" s="162">
        <v>1051357.322268635</v>
      </c>
      <c r="K117" s="55">
        <v>-71225.372268635198</v>
      </c>
    </row>
    <row r="118" spans="3:11" ht="18.75">
      <c r="C118" s="158">
        <v>27</v>
      </c>
      <c r="D118" s="12" t="s">
        <v>72</v>
      </c>
      <c r="E118" s="159">
        <v>5196.72</v>
      </c>
      <c r="F118" s="162">
        <v>923550.38</v>
      </c>
      <c r="G118" s="162">
        <v>920815.65999999992</v>
      </c>
      <c r="H118" s="162">
        <v>24876.720000000001</v>
      </c>
      <c r="I118" s="162">
        <v>-2734.7200000000885</v>
      </c>
      <c r="J118" s="162">
        <v>920022.22843537899</v>
      </c>
      <c r="K118" s="55">
        <v>25670.151564620901</v>
      </c>
    </row>
    <row r="119" spans="3:11" ht="18.75">
      <c r="C119" s="158">
        <v>28</v>
      </c>
      <c r="D119" s="12" t="s">
        <v>73</v>
      </c>
      <c r="E119" s="159">
        <v>5430.5</v>
      </c>
      <c r="F119" s="162">
        <v>1006260.5900000001</v>
      </c>
      <c r="G119" s="162">
        <v>1002527.23</v>
      </c>
      <c r="H119" s="162">
        <v>30819.599999999999</v>
      </c>
      <c r="I119" s="162">
        <v>-3733.3600000001024</v>
      </c>
      <c r="J119" s="162">
        <v>1349847.5677291125</v>
      </c>
      <c r="K119" s="55">
        <v>-316500.7377291125</v>
      </c>
    </row>
    <row r="120" spans="3:11" ht="18.75">
      <c r="C120" s="158"/>
      <c r="D120" s="160"/>
      <c r="E120" s="161">
        <f>SUM(E92:E119)</f>
        <v>167326.49</v>
      </c>
      <c r="F120" s="162"/>
      <c r="G120" s="162"/>
      <c r="H120" s="162"/>
      <c r="I120" s="162"/>
      <c r="J120" s="162">
        <f>SUM(J92:J119)</f>
        <v>32741292.259212278</v>
      </c>
      <c r="K120" s="166">
        <f>SUM(K92:K119)</f>
        <v>-540878.60921228409</v>
      </c>
    </row>
  </sheetData>
  <mergeCells count="2">
    <mergeCell ref="F55:I56"/>
    <mergeCell ref="F89:I90"/>
  </mergeCells>
  <phoneticPr fontId="11" type="noConversion"/>
  <pageMargins left="0.75" right="0.75" top="1" bottom="1" header="0.5" footer="0.5"/>
  <pageSetup paperSize="9" scale="8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J46"/>
  <sheetViews>
    <sheetView zoomScale="110" zoomScaleNormal="110" workbookViewId="0">
      <selection activeCell="H14" sqref="H14:H15"/>
    </sheetView>
  </sheetViews>
  <sheetFormatPr defaultRowHeight="12.75"/>
  <cols>
    <col min="1" max="1" width="4.28515625" customWidth="1"/>
    <col min="2" max="2" width="17.28515625" customWidth="1"/>
    <col min="3" max="3" width="10" style="18" customWidth="1"/>
    <col min="4" max="4" width="13.85546875" customWidth="1"/>
    <col min="5" max="5" width="12.28515625" customWidth="1"/>
    <col min="7" max="7" width="18.85546875" customWidth="1"/>
    <col min="8" max="8" width="11.5703125" customWidth="1"/>
    <col min="9" max="9" width="10" customWidth="1"/>
  </cols>
  <sheetData>
    <row r="1" spans="1:10" ht="27.75" customHeight="1">
      <c r="F1" s="2" t="s">
        <v>14</v>
      </c>
      <c r="G1" s="4" t="s">
        <v>31</v>
      </c>
      <c r="H1" s="3" t="s">
        <v>33</v>
      </c>
      <c r="I1" s="3" t="s">
        <v>34</v>
      </c>
      <c r="J1" s="6" t="s">
        <v>35</v>
      </c>
    </row>
    <row r="2" spans="1:10" ht="15">
      <c r="A2" s="2">
        <v>1</v>
      </c>
      <c r="B2" s="12" t="s">
        <v>63</v>
      </c>
      <c r="C2" s="16">
        <v>3641.1</v>
      </c>
      <c r="F2" s="9">
        <v>1</v>
      </c>
      <c r="G2" s="7" t="s">
        <v>43</v>
      </c>
      <c r="H2" s="2">
        <v>0</v>
      </c>
      <c r="I2" s="8">
        <f>H2/J2</f>
        <v>0</v>
      </c>
      <c r="J2" s="53">
        <v>8551.5400000000009</v>
      </c>
    </row>
    <row r="3" spans="1:10" ht="15">
      <c r="A3" s="2">
        <v>2</v>
      </c>
      <c r="B3" s="12" t="s">
        <v>70</v>
      </c>
      <c r="C3" s="16">
        <v>4910.4399999999996</v>
      </c>
    </row>
    <row r="4" spans="1:10">
      <c r="C4" s="18">
        <f>SUM(C2:C3)</f>
        <v>8551.5399999999991</v>
      </c>
    </row>
    <row r="10" spans="1:10">
      <c r="D10">
        <v>0.182</v>
      </c>
      <c r="E10" s="167">
        <f>C13*D10</f>
        <v>1168.1487999999999</v>
      </c>
    </row>
    <row r="11" spans="1:10">
      <c r="E11">
        <f>C14*D10</f>
        <v>1132.2165400000001</v>
      </c>
    </row>
    <row r="13" spans="1:10" ht="25.5">
      <c r="B13" s="12" t="s">
        <v>60</v>
      </c>
      <c r="C13" s="16">
        <v>6418.4</v>
      </c>
      <c r="D13" s="14">
        <f>I14*C13</f>
        <v>0</v>
      </c>
      <c r="E13" s="14"/>
      <c r="F13" s="2" t="s">
        <v>14</v>
      </c>
      <c r="G13" s="4" t="s">
        <v>31</v>
      </c>
      <c r="H13" s="3" t="s">
        <v>33</v>
      </c>
      <c r="I13" s="3" t="s">
        <v>34</v>
      </c>
      <c r="J13" s="6" t="s">
        <v>35</v>
      </c>
    </row>
    <row r="14" spans="1:10" ht="15">
      <c r="B14" s="12" t="s">
        <v>61</v>
      </c>
      <c r="C14" s="16">
        <v>6220.97</v>
      </c>
      <c r="D14" s="14">
        <f>I14*C14</f>
        <v>0</v>
      </c>
      <c r="E14" s="14"/>
      <c r="F14" s="9">
        <v>1</v>
      </c>
      <c r="G14" s="7" t="s">
        <v>131</v>
      </c>
      <c r="H14" s="2"/>
      <c r="I14" s="8">
        <f>H14/J14</f>
        <v>0</v>
      </c>
      <c r="J14" s="10">
        <v>12639.4</v>
      </c>
    </row>
    <row r="15" spans="1:10">
      <c r="C15" s="18">
        <f>SUM(C13:C14)</f>
        <v>12639.369999999999</v>
      </c>
      <c r="D15" s="14"/>
      <c r="G15" t="s">
        <v>162</v>
      </c>
      <c r="I15" s="8">
        <f>H15/J15</f>
        <v>0</v>
      </c>
      <c r="J15" s="10">
        <v>12639.4</v>
      </c>
    </row>
    <row r="17" spans="2:9">
      <c r="I17">
        <f>I14*C14</f>
        <v>0</v>
      </c>
    </row>
    <row r="18" spans="2:9" ht="14.45" customHeight="1">
      <c r="B18" s="11" t="s">
        <v>46</v>
      </c>
      <c r="C18" s="16">
        <v>9505.68</v>
      </c>
      <c r="D18" s="13">
        <f>C18*14.43*12</f>
        <v>1646003.5488</v>
      </c>
      <c r="E18" s="13">
        <f>C18*1.42*12</f>
        <v>161976.78719999999</v>
      </c>
    </row>
    <row r="19" spans="2:9" ht="14.45" customHeight="1">
      <c r="B19" s="11" t="s">
        <v>47</v>
      </c>
      <c r="C19" s="16">
        <v>2188.1</v>
      </c>
      <c r="D19" s="13">
        <f>C19*14.43*12</f>
        <v>378891.39600000001</v>
      </c>
      <c r="E19" s="13">
        <f>C19*1.42*12</f>
        <v>37285.224000000002</v>
      </c>
    </row>
    <row r="20" spans="2:9" ht="14.45" customHeight="1">
      <c r="B20" s="12" t="s">
        <v>48</v>
      </c>
      <c r="C20" s="16">
        <v>7702.4</v>
      </c>
      <c r="D20" s="13">
        <f>C20*14.43*12</f>
        <v>1333747.584</v>
      </c>
      <c r="E20" s="13">
        <f>C20*1.42*12</f>
        <v>131248.89600000001</v>
      </c>
    </row>
    <row r="21" spans="2:9" ht="14.45" customHeight="1">
      <c r="B21" s="12" t="s">
        <v>49</v>
      </c>
      <c r="C21" s="16">
        <v>5475.6</v>
      </c>
      <c r="D21" s="13">
        <f>C21*14.43*12</f>
        <v>948154.89600000018</v>
      </c>
      <c r="E21" s="13">
        <f>C21*1.42*12</f>
        <v>93304.224000000002</v>
      </c>
    </row>
    <row r="22" spans="2:9" ht="14.45" customHeight="1">
      <c r="B22" s="12" t="s">
        <v>50</v>
      </c>
      <c r="C22" s="16">
        <v>3843.5</v>
      </c>
      <c r="D22" s="13">
        <f>C22*9.33*12</f>
        <v>430318.26</v>
      </c>
      <c r="E22" s="13">
        <f>C22*1.01*12</f>
        <v>46583.22</v>
      </c>
    </row>
    <row r="23" spans="2:9" ht="14.45" customHeight="1">
      <c r="B23" s="12" t="s">
        <v>51</v>
      </c>
      <c r="C23" s="16">
        <v>3638.5</v>
      </c>
      <c r="D23" s="13">
        <f>C23*14.43*12</f>
        <v>630042.66</v>
      </c>
      <c r="E23" s="13">
        <f>C23*1.42*12</f>
        <v>62000.04</v>
      </c>
    </row>
    <row r="24" spans="2:9" ht="14.45" customHeight="1">
      <c r="B24" s="12" t="s">
        <v>52</v>
      </c>
      <c r="C24" s="16">
        <v>8242.7999999999993</v>
      </c>
      <c r="D24" s="13">
        <f>C24*14.43*12</f>
        <v>1427323.2479999999</v>
      </c>
      <c r="E24" s="13">
        <f>C24*1.42*12</f>
        <v>140457.31199999998</v>
      </c>
    </row>
    <row r="25" spans="2:9" ht="14.45" customHeight="1">
      <c r="B25" s="12" t="s">
        <v>53</v>
      </c>
      <c r="C25" s="16">
        <v>7234.2</v>
      </c>
      <c r="D25" s="13">
        <f>C25*14.43*12</f>
        <v>1252674.0719999999</v>
      </c>
      <c r="E25" s="13">
        <f>C25*1.42*12</f>
        <v>123270.76799999998</v>
      </c>
    </row>
    <row r="26" spans="2:9" ht="14.45" customHeight="1">
      <c r="B26" s="12" t="s">
        <v>54</v>
      </c>
      <c r="C26" s="16">
        <v>5745.16</v>
      </c>
      <c r="D26" s="13">
        <f>C26*14.43*12</f>
        <v>994831.90559999994</v>
      </c>
      <c r="E26" s="13">
        <f>C26*1.42*12</f>
        <v>97897.526399999988</v>
      </c>
    </row>
    <row r="27" spans="2:9" ht="14.45" customHeight="1">
      <c r="B27" s="12" t="s">
        <v>55</v>
      </c>
      <c r="C27" s="16">
        <v>5755.42</v>
      </c>
      <c r="D27" s="13">
        <f>C27*14.43*12</f>
        <v>996608.52720000013</v>
      </c>
      <c r="E27" s="13">
        <f>C27*1.42*12</f>
        <v>98072.356799999994</v>
      </c>
    </row>
    <row r="28" spans="2:9" ht="14.45" customHeight="1">
      <c r="B28" s="12" t="s">
        <v>56</v>
      </c>
      <c r="C28" s="16">
        <v>5376.01</v>
      </c>
      <c r="D28" s="13">
        <f>C28*12.25*12</f>
        <v>790273.47</v>
      </c>
      <c r="E28" s="13">
        <f>C28*1.15*12</f>
        <v>74188.937999999995</v>
      </c>
    </row>
    <row r="29" spans="2:9" ht="14.45" customHeight="1">
      <c r="B29" s="12" t="s">
        <v>57</v>
      </c>
      <c r="C29" s="16">
        <v>5735.67</v>
      </c>
      <c r="D29" s="13">
        <f>C29*14.43*12</f>
        <v>993188.61719999998</v>
      </c>
      <c r="E29" s="13">
        <f>C29*1.42*12</f>
        <v>97735.816800000001</v>
      </c>
    </row>
    <row r="30" spans="2:9" ht="14.45" customHeight="1">
      <c r="B30" s="12" t="s">
        <v>58</v>
      </c>
      <c r="C30" s="16">
        <v>5729.8</v>
      </c>
      <c r="D30" s="13">
        <f>C30*14.43*12</f>
        <v>992172.16799999995</v>
      </c>
      <c r="E30" s="13">
        <f>C30*1.42*12</f>
        <v>97635.792000000001</v>
      </c>
    </row>
    <row r="31" spans="2:9" ht="14.45" customHeight="1">
      <c r="B31" s="12" t="s">
        <v>59</v>
      </c>
      <c r="C31" s="16">
        <v>10517.9</v>
      </c>
      <c r="D31" s="13">
        <f>C31*14.43*12</f>
        <v>1821279.5639999998</v>
      </c>
      <c r="E31" s="13">
        <f>C31*1.42*12</f>
        <v>179225.01599999997</v>
      </c>
    </row>
    <row r="32" spans="2:9" ht="14.45" customHeight="1">
      <c r="B32" s="12" t="s">
        <v>60</v>
      </c>
      <c r="C32" s="16">
        <v>6418.4</v>
      </c>
      <c r="D32" s="13">
        <f>C32*16.86*12</f>
        <v>1298570.6879999998</v>
      </c>
      <c r="E32" s="13">
        <f>C32*1.75*12</f>
        <v>134786.4</v>
      </c>
    </row>
    <row r="33" spans="2:5" ht="14.45" customHeight="1">
      <c r="B33" s="12" t="s">
        <v>61</v>
      </c>
      <c r="C33" s="16">
        <v>6220.97</v>
      </c>
      <c r="D33" s="13">
        <f>C33*16.86*12</f>
        <v>1258626.6503999999</v>
      </c>
      <c r="E33" s="13">
        <f>C33*1.75*12</f>
        <v>130640.37</v>
      </c>
    </row>
    <row r="34" spans="2:5" ht="14.45" customHeight="1">
      <c r="B34" s="12" t="s">
        <v>62</v>
      </c>
      <c r="C34" s="16">
        <v>3781.1</v>
      </c>
      <c r="D34" s="13">
        <f>C34*14.43*12</f>
        <v>654735.27600000007</v>
      </c>
      <c r="E34" s="13">
        <f>C34*1.42*12</f>
        <v>64429.943999999989</v>
      </c>
    </row>
    <row r="35" spans="2:5" ht="14.45" customHeight="1">
      <c r="B35" s="12" t="s">
        <v>63</v>
      </c>
      <c r="C35" s="16">
        <v>3639.3</v>
      </c>
      <c r="D35" s="13">
        <f>C35*12.25*12</f>
        <v>534977.10000000009</v>
      </c>
      <c r="E35" s="13">
        <f>C35*1.15*12</f>
        <v>50222.34</v>
      </c>
    </row>
    <row r="36" spans="2:5" ht="14.45" customHeight="1">
      <c r="B36" s="12" t="s">
        <v>64</v>
      </c>
      <c r="C36" s="16">
        <v>5477.19</v>
      </c>
      <c r="D36" s="13">
        <f>C36*14.43*12</f>
        <v>948430.22039999999</v>
      </c>
      <c r="E36" s="13">
        <f>C36*1.42*12</f>
        <v>93331.317599999995</v>
      </c>
    </row>
    <row r="37" spans="2:5" ht="14.45" customHeight="1">
      <c r="B37" s="12" t="s">
        <v>65</v>
      </c>
      <c r="C37" s="16">
        <v>7282.2</v>
      </c>
      <c r="D37" s="13">
        <f t="shared" ref="D37:D44" si="0">C37*14.43*12</f>
        <v>1260985.7519999999</v>
      </c>
      <c r="E37" s="13">
        <f t="shared" ref="E37:E45" si="1">C37*1.42*12</f>
        <v>124088.68799999998</v>
      </c>
    </row>
    <row r="38" spans="2:5" ht="14.45" customHeight="1">
      <c r="B38" s="12" t="s">
        <v>66</v>
      </c>
      <c r="C38" s="16">
        <v>11394.7</v>
      </c>
      <c r="D38" s="13">
        <f t="shared" si="0"/>
        <v>1973106.2520000001</v>
      </c>
      <c r="E38" s="13">
        <f t="shared" si="1"/>
        <v>194165.68799999999</v>
      </c>
    </row>
    <row r="39" spans="2:5" ht="14.45" customHeight="1">
      <c r="B39" s="12" t="s">
        <v>67</v>
      </c>
      <c r="C39" s="16">
        <v>5335.74</v>
      </c>
      <c r="D39" s="13">
        <f t="shared" si="0"/>
        <v>923936.73839999991</v>
      </c>
      <c r="E39" s="13">
        <f t="shared" si="1"/>
        <v>90921.00959999999</v>
      </c>
    </row>
    <row r="40" spans="2:5" ht="14.45" customHeight="1">
      <c r="B40" s="12" t="s">
        <v>68</v>
      </c>
      <c r="C40" s="16">
        <v>5263.89</v>
      </c>
      <c r="D40" s="13">
        <f t="shared" si="0"/>
        <v>911495.19240000006</v>
      </c>
      <c r="E40" s="13">
        <f t="shared" si="1"/>
        <v>89696.685599999997</v>
      </c>
    </row>
    <row r="41" spans="2:5" ht="14.45" customHeight="1">
      <c r="B41" s="12" t="s">
        <v>69</v>
      </c>
      <c r="C41" s="16">
        <v>5258.32</v>
      </c>
      <c r="D41" s="13">
        <f t="shared" si="0"/>
        <v>910530.6912</v>
      </c>
      <c r="E41" s="13">
        <f t="shared" si="1"/>
        <v>89601.772799999992</v>
      </c>
    </row>
    <row r="42" spans="2:5" ht="14.45" customHeight="1">
      <c r="B42" s="12" t="s">
        <v>70</v>
      </c>
      <c r="C42" s="16">
        <v>4910.4399999999996</v>
      </c>
      <c r="D42" s="13">
        <f t="shared" si="0"/>
        <v>850291.79040000006</v>
      </c>
      <c r="E42" s="13">
        <f t="shared" si="1"/>
        <v>83673.897599999997</v>
      </c>
    </row>
    <row r="43" spans="2:5" ht="14.45" customHeight="1">
      <c r="B43" s="12" t="s">
        <v>71</v>
      </c>
      <c r="C43" s="16">
        <v>4934.1400000000003</v>
      </c>
      <c r="D43" s="13">
        <f t="shared" si="0"/>
        <v>854395.68240000005</v>
      </c>
      <c r="E43" s="13">
        <f t="shared" si="1"/>
        <v>84077.745599999995</v>
      </c>
    </row>
    <row r="44" spans="2:5" ht="14.45" customHeight="1">
      <c r="B44" s="12" t="s">
        <v>72</v>
      </c>
      <c r="C44" s="16">
        <v>5196.75</v>
      </c>
      <c r="D44" s="13">
        <f t="shared" si="0"/>
        <v>899869.23</v>
      </c>
      <c r="E44" s="13">
        <f t="shared" si="1"/>
        <v>88552.62</v>
      </c>
    </row>
    <row r="45" spans="2:5" ht="14.45" customHeight="1">
      <c r="B45" s="12" t="s">
        <v>73</v>
      </c>
      <c r="C45" s="16">
        <v>5407.2</v>
      </c>
      <c r="D45" s="13">
        <f>C45*14.43*12</f>
        <v>936310.75199999986</v>
      </c>
      <c r="E45" s="13">
        <f t="shared" si="1"/>
        <v>92138.687999999995</v>
      </c>
    </row>
    <row r="46" spans="2:5">
      <c r="C46" s="18">
        <f>SUM(C18:C45)</f>
        <v>167211.08000000005</v>
      </c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B35"/>
  <sheetViews>
    <sheetView topLeftCell="F1" workbookViewId="0">
      <selection activeCell="A2" sqref="A2:AB3"/>
    </sheetView>
  </sheetViews>
  <sheetFormatPr defaultRowHeight="12.75"/>
  <cols>
    <col min="10" max="10" width="18.42578125" customWidth="1"/>
    <col min="11" max="11" width="14" bestFit="1" customWidth="1"/>
  </cols>
  <sheetData>
    <row r="2" spans="1:28">
      <c r="A2" s="179">
        <f>49.81*68.85</f>
        <v>3429.4184999999998</v>
      </c>
      <c r="B2" s="179">
        <f>74.12*68.85</f>
        <v>5103.1620000000003</v>
      </c>
      <c r="C2" s="179">
        <f>47.6*68.85</f>
        <v>3277.2599999999998</v>
      </c>
      <c r="D2" s="179">
        <f>95.37*68.85</f>
        <v>6566.2244999999994</v>
      </c>
      <c r="E2" s="179">
        <f>49.81*68.85</f>
        <v>3429.4184999999998</v>
      </c>
      <c r="F2" s="179">
        <f>72.59*68.85</f>
        <v>4997.8215</v>
      </c>
      <c r="G2" s="179">
        <f>95.37*68.85</f>
        <v>6566.2244999999994</v>
      </c>
      <c r="H2" s="179">
        <f>133.11*68.85</f>
        <v>9164.6234999999997</v>
      </c>
      <c r="I2" s="179">
        <f>60.52*70.22</f>
        <v>4249.7143999999998</v>
      </c>
      <c r="J2" s="179">
        <f>60.52*70.22</f>
        <v>4249.7143999999998</v>
      </c>
      <c r="K2" s="179">
        <f>60.52*70.22</f>
        <v>4249.7143999999998</v>
      </c>
      <c r="L2" s="179">
        <f>56.95*70.22</f>
        <v>3999.029</v>
      </c>
      <c r="M2" s="179">
        <f>60.52*70.22</f>
        <v>4249.7143999999998</v>
      </c>
      <c r="N2" s="179">
        <f>60.52*70.22</f>
        <v>4249.7143999999998</v>
      </c>
      <c r="O2" s="179">
        <f>60.52*70.22</f>
        <v>4249.7143999999998</v>
      </c>
      <c r="P2" s="179">
        <f>110.84*70.22</f>
        <v>7783.1848</v>
      </c>
      <c r="Q2" s="179">
        <f>45.73*70.22</f>
        <v>3211.1605999999997</v>
      </c>
      <c r="R2" s="179">
        <f>81.09*68.85</f>
        <v>5583.0464999999995</v>
      </c>
      <c r="S2" s="179">
        <f>72.59*68.85</f>
        <v>4997.8215</v>
      </c>
      <c r="T2" s="179">
        <f>64.6*68.85</f>
        <v>4447.7099999999991</v>
      </c>
      <c r="U2" s="179">
        <f>72.42*68.85</f>
        <v>4986.1169999999993</v>
      </c>
      <c r="V2" s="179">
        <f>96.9*68.85</f>
        <v>6671.5649999999996</v>
      </c>
      <c r="W2" s="179">
        <f>72.59*68.85</f>
        <v>4997.8215</v>
      </c>
      <c r="X2" s="179">
        <f>72.42*68.85</f>
        <v>4986.1169999999993</v>
      </c>
      <c r="Y2" s="179">
        <f>72.59*68.85</f>
        <v>4997.8215</v>
      </c>
      <c r="Z2" s="179">
        <f>123.93*68.85</f>
        <v>8532.5805</v>
      </c>
      <c r="AA2" s="179">
        <f>96.73*70.22</f>
        <v>6792.3806000000004</v>
      </c>
      <c r="AB2" s="179">
        <f>96.73*70.22</f>
        <v>6792.3806000000004</v>
      </c>
    </row>
    <row r="3" spans="1:28">
      <c r="A3" s="179">
        <f>49.81*20.04</f>
        <v>998.19240000000002</v>
      </c>
      <c r="B3" s="179">
        <f>74.12*20.04</f>
        <v>1485.3648000000001</v>
      </c>
      <c r="C3" s="179">
        <f>47.6*20.04</f>
        <v>953.904</v>
      </c>
      <c r="D3" s="179">
        <f>95.37*20.04</f>
        <v>1911.2148</v>
      </c>
      <c r="E3" s="179">
        <f>49.81*20.04</f>
        <v>998.19240000000002</v>
      </c>
      <c r="F3" s="179">
        <f>72.59*20.04</f>
        <v>1454.7036000000001</v>
      </c>
      <c r="G3" s="179">
        <f>95.37*20.04</f>
        <v>1911.2148</v>
      </c>
      <c r="H3" s="179">
        <f>133.11*20.04</f>
        <v>2667.5244000000002</v>
      </c>
      <c r="I3" s="179">
        <f>60.52*20.84</f>
        <v>1261.2368000000001</v>
      </c>
      <c r="J3" s="179">
        <f>60.52*20.84</f>
        <v>1261.2368000000001</v>
      </c>
      <c r="K3" s="179">
        <f>60.52*20.84</f>
        <v>1261.2368000000001</v>
      </c>
      <c r="L3" s="179">
        <f>56.95*20.84</f>
        <v>1186.838</v>
      </c>
      <c r="M3" s="179">
        <f>60.52*20.84</f>
        <v>1261.2368000000001</v>
      </c>
      <c r="N3" s="179">
        <f>60.52*20.84</f>
        <v>1261.2368000000001</v>
      </c>
      <c r="O3" s="179">
        <f>60.52*20.84</f>
        <v>1261.2368000000001</v>
      </c>
      <c r="P3" s="179">
        <f>110.84*20.84</f>
        <v>2309.9056</v>
      </c>
      <c r="Q3" s="179">
        <f>45.73*20.84</f>
        <v>953.01319999999998</v>
      </c>
      <c r="R3" s="179">
        <f>81.09*20.04</f>
        <v>1625.0436</v>
      </c>
      <c r="S3" s="179">
        <f>72.59*20.04</f>
        <v>1454.7036000000001</v>
      </c>
      <c r="T3" s="179">
        <f>64.6*20.04</f>
        <v>1294.5839999999998</v>
      </c>
      <c r="U3" s="179">
        <f>72.42*20.04</f>
        <v>1451.2968000000001</v>
      </c>
      <c r="V3" s="179">
        <f>96.9*20.04</f>
        <v>1941.876</v>
      </c>
      <c r="W3" s="179">
        <f>72.59*20.04</f>
        <v>1454.7036000000001</v>
      </c>
      <c r="X3" s="179">
        <f>72.42*20.04</f>
        <v>1451.2968000000001</v>
      </c>
      <c r="Y3" s="179">
        <f>72.59*20.04</f>
        <v>1454.7036000000001</v>
      </c>
      <c r="Z3" s="179">
        <f>123.93*20.04</f>
        <v>2483.5572000000002</v>
      </c>
      <c r="AA3" s="179">
        <f>96.73*20.84</f>
        <v>2015.8532</v>
      </c>
      <c r="AB3" s="179">
        <f>96.73*20.84</f>
        <v>2015.8532</v>
      </c>
    </row>
    <row r="6" spans="1:28" ht="13.5" thickBot="1"/>
    <row r="7" spans="1:28" ht="17.100000000000001" customHeight="1" thickBot="1">
      <c r="A7">
        <v>11.084</v>
      </c>
      <c r="B7">
        <f>A7*5</f>
        <v>55.42</v>
      </c>
      <c r="C7" s="167">
        <f>B7*67.36</f>
        <v>3733.0912000000003</v>
      </c>
      <c r="D7" s="167">
        <f>B7*20.84</f>
        <v>1154.9528</v>
      </c>
      <c r="F7">
        <f>A7*5</f>
        <v>55.42</v>
      </c>
      <c r="G7" s="18">
        <f>F7*68.06</f>
        <v>3771.8852000000002</v>
      </c>
      <c r="H7" s="18">
        <f>F7*22.01</f>
        <v>1219.7942</v>
      </c>
      <c r="J7" s="169" t="s">
        <v>133</v>
      </c>
      <c r="K7" s="168">
        <f>C7+D7+G7+H7</f>
        <v>9879.7234000000008</v>
      </c>
    </row>
    <row r="8" spans="1:28" ht="17.100000000000001" customHeight="1" thickBot="1">
      <c r="A8">
        <v>4.5730000000000004</v>
      </c>
      <c r="B8">
        <f t="shared" ref="B8:B34" si="0">A8*5</f>
        <v>22.865000000000002</v>
      </c>
      <c r="C8" s="167">
        <f t="shared" ref="C8:C34" si="1">B8*67.36</f>
        <v>1540.1864</v>
      </c>
      <c r="D8" s="167">
        <f t="shared" ref="D8:D34" si="2">B8*20.84</f>
        <v>476.50660000000005</v>
      </c>
      <c r="F8">
        <f t="shared" ref="F8:F34" si="3">A8*5</f>
        <v>22.865000000000002</v>
      </c>
      <c r="G8" s="18">
        <f t="shared" ref="G8:G34" si="4">F8*68.06</f>
        <v>1556.1919000000003</v>
      </c>
      <c r="H8" s="18">
        <f t="shared" ref="H8:H34" si="5">F8*22.01</f>
        <v>503.2586500000001</v>
      </c>
      <c r="J8" s="170" t="s">
        <v>134</v>
      </c>
      <c r="K8" s="168">
        <f t="shared" ref="K8:K34" si="6">C8+D8+G8+H8</f>
        <v>4076.1435500000007</v>
      </c>
    </row>
    <row r="9" spans="1:28" ht="17.100000000000001" customHeight="1" thickBot="1">
      <c r="A9">
        <v>8.109</v>
      </c>
      <c r="B9">
        <f t="shared" si="0"/>
        <v>40.545000000000002</v>
      </c>
      <c r="C9" s="167">
        <f t="shared" si="1"/>
        <v>2731.1112000000003</v>
      </c>
      <c r="D9" s="167">
        <f t="shared" si="2"/>
        <v>844.95780000000002</v>
      </c>
      <c r="F9">
        <f t="shared" si="3"/>
        <v>40.545000000000002</v>
      </c>
      <c r="G9" s="18">
        <f t="shared" si="4"/>
        <v>2759.4927000000002</v>
      </c>
      <c r="H9" s="18">
        <f t="shared" si="5"/>
        <v>892.3954500000001</v>
      </c>
      <c r="J9" s="170" t="s">
        <v>135</v>
      </c>
      <c r="K9" s="168">
        <f t="shared" si="6"/>
        <v>7227.9571500000002</v>
      </c>
    </row>
    <row r="10" spans="1:28" ht="17.100000000000001" customHeight="1" thickBot="1">
      <c r="A10">
        <v>7.2590000000000003</v>
      </c>
      <c r="B10">
        <f t="shared" si="0"/>
        <v>36.295000000000002</v>
      </c>
      <c r="C10" s="167">
        <f t="shared" si="1"/>
        <v>2444.8312000000001</v>
      </c>
      <c r="D10" s="167">
        <f t="shared" si="2"/>
        <v>756.38780000000008</v>
      </c>
      <c r="F10">
        <f t="shared" si="3"/>
        <v>36.295000000000002</v>
      </c>
      <c r="G10" s="18">
        <f t="shared" si="4"/>
        <v>2470.2377000000001</v>
      </c>
      <c r="H10" s="18">
        <f t="shared" si="5"/>
        <v>798.85295000000008</v>
      </c>
      <c r="J10" s="170" t="s">
        <v>136</v>
      </c>
      <c r="K10" s="168">
        <f t="shared" si="6"/>
        <v>6470.3096500000011</v>
      </c>
    </row>
    <row r="11" spans="1:28" ht="17.100000000000001" customHeight="1" thickBot="1">
      <c r="A11">
        <v>6.46</v>
      </c>
      <c r="B11">
        <f t="shared" si="0"/>
        <v>32.299999999999997</v>
      </c>
      <c r="C11" s="167">
        <f t="shared" si="1"/>
        <v>2175.7279999999996</v>
      </c>
      <c r="D11" s="167">
        <f t="shared" si="2"/>
        <v>673.13199999999995</v>
      </c>
      <c r="F11">
        <f t="shared" si="3"/>
        <v>32.299999999999997</v>
      </c>
      <c r="G11" s="18">
        <f t="shared" si="4"/>
        <v>2198.3379999999997</v>
      </c>
      <c r="H11" s="18">
        <f t="shared" si="5"/>
        <v>710.923</v>
      </c>
      <c r="J11" s="170" t="s">
        <v>137</v>
      </c>
      <c r="K11" s="168">
        <f t="shared" si="6"/>
        <v>5758.1209999999992</v>
      </c>
    </row>
    <row r="12" spans="1:28" ht="17.100000000000001" customHeight="1" thickBot="1">
      <c r="A12">
        <v>7.242</v>
      </c>
      <c r="B12">
        <f t="shared" si="0"/>
        <v>36.21</v>
      </c>
      <c r="C12" s="167">
        <f t="shared" si="1"/>
        <v>2439.1055999999999</v>
      </c>
      <c r="D12" s="167">
        <f t="shared" si="2"/>
        <v>754.6164</v>
      </c>
      <c r="F12">
        <f t="shared" si="3"/>
        <v>36.21</v>
      </c>
      <c r="G12" s="18">
        <f t="shared" si="4"/>
        <v>2464.4526000000001</v>
      </c>
      <c r="H12" s="18">
        <f t="shared" si="5"/>
        <v>796.98210000000006</v>
      </c>
      <c r="J12" s="170" t="s">
        <v>138</v>
      </c>
      <c r="K12" s="168">
        <f t="shared" si="6"/>
        <v>6455.1567000000005</v>
      </c>
    </row>
    <row r="13" spans="1:28" ht="17.100000000000001" customHeight="1" thickBot="1">
      <c r="A13">
        <v>9.69</v>
      </c>
      <c r="B13">
        <f t="shared" si="0"/>
        <v>48.449999999999996</v>
      </c>
      <c r="C13" s="167">
        <f t="shared" si="1"/>
        <v>3263.5919999999996</v>
      </c>
      <c r="D13" s="167">
        <f t="shared" si="2"/>
        <v>1009.6979999999999</v>
      </c>
      <c r="F13">
        <f t="shared" si="3"/>
        <v>48.449999999999996</v>
      </c>
      <c r="G13" s="18">
        <f t="shared" si="4"/>
        <v>3297.5069999999996</v>
      </c>
      <c r="H13" s="18">
        <f t="shared" si="5"/>
        <v>1066.3844999999999</v>
      </c>
      <c r="J13" s="170" t="s">
        <v>139</v>
      </c>
      <c r="K13" s="168">
        <f t="shared" si="6"/>
        <v>8637.1814999999988</v>
      </c>
    </row>
    <row r="14" spans="1:28" ht="17.100000000000001" customHeight="1" thickBot="1">
      <c r="A14">
        <v>7.2590000000000003</v>
      </c>
      <c r="B14">
        <f t="shared" si="0"/>
        <v>36.295000000000002</v>
      </c>
      <c r="C14" s="167">
        <f t="shared" si="1"/>
        <v>2444.8312000000001</v>
      </c>
      <c r="D14" s="167">
        <f t="shared" si="2"/>
        <v>756.38780000000008</v>
      </c>
      <c r="F14">
        <f t="shared" si="3"/>
        <v>36.295000000000002</v>
      </c>
      <c r="G14" s="18">
        <f t="shared" si="4"/>
        <v>2470.2377000000001</v>
      </c>
      <c r="H14" s="18">
        <f t="shared" si="5"/>
        <v>798.85295000000008</v>
      </c>
      <c r="J14" s="170" t="s">
        <v>140</v>
      </c>
      <c r="K14" s="168">
        <f t="shared" si="6"/>
        <v>6470.3096500000011</v>
      </c>
    </row>
    <row r="15" spans="1:28" ht="17.100000000000001" customHeight="1" thickBot="1">
      <c r="A15">
        <v>7.242</v>
      </c>
      <c r="B15">
        <f t="shared" si="0"/>
        <v>36.21</v>
      </c>
      <c r="C15" s="167">
        <f t="shared" si="1"/>
        <v>2439.1055999999999</v>
      </c>
      <c r="D15" s="167">
        <f t="shared" si="2"/>
        <v>754.6164</v>
      </c>
      <c r="F15">
        <f t="shared" si="3"/>
        <v>36.21</v>
      </c>
      <c r="G15" s="18">
        <f t="shared" si="4"/>
        <v>2464.4526000000001</v>
      </c>
      <c r="H15" s="18">
        <f t="shared" si="5"/>
        <v>796.98210000000006</v>
      </c>
      <c r="J15" s="170" t="s">
        <v>141</v>
      </c>
      <c r="K15" s="168">
        <f t="shared" si="6"/>
        <v>6455.1567000000005</v>
      </c>
    </row>
    <row r="16" spans="1:28" ht="17.100000000000001" customHeight="1" thickBot="1">
      <c r="A16">
        <v>7.2590000000000003</v>
      </c>
      <c r="B16">
        <f t="shared" si="0"/>
        <v>36.295000000000002</v>
      </c>
      <c r="C16" s="167">
        <f t="shared" si="1"/>
        <v>2444.8312000000001</v>
      </c>
      <c r="D16" s="167">
        <f t="shared" si="2"/>
        <v>756.38780000000008</v>
      </c>
      <c r="F16">
        <f t="shared" si="3"/>
        <v>36.295000000000002</v>
      </c>
      <c r="G16" s="18">
        <f t="shared" si="4"/>
        <v>2470.2377000000001</v>
      </c>
      <c r="H16" s="18">
        <f t="shared" si="5"/>
        <v>798.85295000000008</v>
      </c>
      <c r="J16" s="170" t="s">
        <v>142</v>
      </c>
      <c r="K16" s="168">
        <f t="shared" si="6"/>
        <v>6470.3096500000011</v>
      </c>
    </row>
    <row r="17" spans="1:11" ht="17.100000000000001" customHeight="1" thickBot="1">
      <c r="A17">
        <v>12.393000000000001</v>
      </c>
      <c r="B17">
        <f t="shared" si="0"/>
        <v>61.965000000000003</v>
      </c>
      <c r="C17" s="167">
        <f t="shared" si="1"/>
        <v>4173.9624000000003</v>
      </c>
      <c r="D17" s="167">
        <f t="shared" si="2"/>
        <v>1291.3506</v>
      </c>
      <c r="F17">
        <f t="shared" si="3"/>
        <v>61.965000000000003</v>
      </c>
      <c r="G17" s="18">
        <f t="shared" si="4"/>
        <v>4217.3379000000004</v>
      </c>
      <c r="H17" s="18">
        <f t="shared" si="5"/>
        <v>1363.8496500000001</v>
      </c>
      <c r="J17" s="170" t="s">
        <v>143</v>
      </c>
      <c r="K17" s="168">
        <f t="shared" si="6"/>
        <v>11046.500550000001</v>
      </c>
    </row>
    <row r="18" spans="1:11" ht="17.100000000000001" customHeight="1" thickBot="1">
      <c r="A18">
        <v>9.673</v>
      </c>
      <c r="B18">
        <f t="shared" si="0"/>
        <v>48.365000000000002</v>
      </c>
      <c r="C18" s="167">
        <f t="shared" si="1"/>
        <v>3257.8663999999999</v>
      </c>
      <c r="D18" s="167">
        <f t="shared" si="2"/>
        <v>1007.9266</v>
      </c>
      <c r="F18">
        <f t="shared" si="3"/>
        <v>48.365000000000002</v>
      </c>
      <c r="G18" s="18">
        <f t="shared" si="4"/>
        <v>3291.7219000000005</v>
      </c>
      <c r="H18" s="18">
        <f t="shared" si="5"/>
        <v>1064.5136500000001</v>
      </c>
      <c r="J18" s="170" t="s">
        <v>144</v>
      </c>
      <c r="K18" s="168">
        <f t="shared" si="6"/>
        <v>8622.0285500000009</v>
      </c>
    </row>
    <row r="19" spans="1:11" ht="17.100000000000001" customHeight="1" thickBot="1">
      <c r="A19">
        <v>9.673</v>
      </c>
      <c r="B19">
        <f t="shared" si="0"/>
        <v>48.365000000000002</v>
      </c>
      <c r="C19" s="167">
        <f t="shared" si="1"/>
        <v>3257.8663999999999</v>
      </c>
      <c r="D19" s="167">
        <f t="shared" si="2"/>
        <v>1007.9266</v>
      </c>
      <c r="F19">
        <f t="shared" si="3"/>
        <v>48.365000000000002</v>
      </c>
      <c r="G19" s="18">
        <f t="shared" si="4"/>
        <v>3291.7219000000005</v>
      </c>
      <c r="H19" s="18">
        <f t="shared" si="5"/>
        <v>1064.5136500000001</v>
      </c>
      <c r="J19" s="170" t="s">
        <v>145</v>
      </c>
      <c r="K19" s="168">
        <f t="shared" si="6"/>
        <v>8622.0285500000009</v>
      </c>
    </row>
    <row r="20" spans="1:11" ht="17.100000000000001" customHeight="1" thickBot="1">
      <c r="A20">
        <v>4.9809999999999999</v>
      </c>
      <c r="B20">
        <f t="shared" si="0"/>
        <v>24.905000000000001</v>
      </c>
      <c r="C20" s="167">
        <f t="shared" si="1"/>
        <v>1677.6008000000002</v>
      </c>
      <c r="D20" s="167">
        <f t="shared" si="2"/>
        <v>519.02020000000005</v>
      </c>
      <c r="F20">
        <f t="shared" si="3"/>
        <v>24.905000000000001</v>
      </c>
      <c r="G20" s="18">
        <f t="shared" si="4"/>
        <v>1695.0343</v>
      </c>
      <c r="H20" s="18">
        <f t="shared" si="5"/>
        <v>548.15905000000009</v>
      </c>
      <c r="J20" s="170" t="s">
        <v>146</v>
      </c>
      <c r="K20" s="168">
        <f t="shared" si="6"/>
        <v>4439.8143500000006</v>
      </c>
    </row>
    <row r="21" spans="1:11" ht="17.100000000000001" customHeight="1" thickBot="1">
      <c r="A21">
        <v>7.4119999999999999</v>
      </c>
      <c r="B21">
        <f t="shared" si="0"/>
        <v>37.06</v>
      </c>
      <c r="C21" s="167">
        <f t="shared" si="1"/>
        <v>2496.3616000000002</v>
      </c>
      <c r="D21" s="167">
        <f t="shared" si="2"/>
        <v>772.33040000000005</v>
      </c>
      <c r="F21">
        <f t="shared" si="3"/>
        <v>37.06</v>
      </c>
      <c r="G21" s="18">
        <f t="shared" si="4"/>
        <v>2522.3036000000002</v>
      </c>
      <c r="H21" s="18">
        <f t="shared" si="5"/>
        <v>815.69060000000013</v>
      </c>
      <c r="J21" s="170" t="s">
        <v>147</v>
      </c>
      <c r="K21" s="168">
        <f t="shared" si="6"/>
        <v>6606.6862000000001</v>
      </c>
    </row>
    <row r="22" spans="1:11" ht="17.100000000000001" customHeight="1" thickBot="1">
      <c r="A22">
        <v>9.5370000000000008</v>
      </c>
      <c r="B22">
        <f t="shared" si="0"/>
        <v>47.685000000000002</v>
      </c>
      <c r="C22" s="167">
        <f t="shared" si="1"/>
        <v>3212.0616</v>
      </c>
      <c r="D22" s="167">
        <f t="shared" si="2"/>
        <v>993.75540000000001</v>
      </c>
      <c r="F22">
        <f t="shared" si="3"/>
        <v>47.685000000000002</v>
      </c>
      <c r="G22" s="18">
        <f t="shared" si="4"/>
        <v>3245.4411000000005</v>
      </c>
      <c r="H22" s="18">
        <f t="shared" si="5"/>
        <v>1049.5468500000002</v>
      </c>
      <c r="J22" s="170" t="s">
        <v>148</v>
      </c>
      <c r="K22" s="168">
        <f t="shared" si="6"/>
        <v>8500.8049500000016</v>
      </c>
    </row>
    <row r="23" spans="1:11" ht="17.100000000000001" customHeight="1" thickBot="1">
      <c r="A23">
        <v>4.76</v>
      </c>
      <c r="B23">
        <f t="shared" si="0"/>
        <v>23.799999999999997</v>
      </c>
      <c r="C23" s="167">
        <f t="shared" si="1"/>
        <v>1603.1679999999999</v>
      </c>
      <c r="D23" s="167">
        <f t="shared" si="2"/>
        <v>495.99199999999996</v>
      </c>
      <c r="F23">
        <f t="shared" si="3"/>
        <v>23.799999999999997</v>
      </c>
      <c r="G23" s="18">
        <f t="shared" si="4"/>
        <v>1619.8279999999997</v>
      </c>
      <c r="H23" s="18">
        <f t="shared" si="5"/>
        <v>523.83799999999997</v>
      </c>
      <c r="J23" s="170" t="s">
        <v>149</v>
      </c>
      <c r="K23" s="168">
        <f t="shared" si="6"/>
        <v>4242.8259999999991</v>
      </c>
    </row>
    <row r="24" spans="1:11" ht="17.100000000000001" customHeight="1" thickBot="1">
      <c r="A24">
        <v>4.9809999999999999</v>
      </c>
      <c r="B24">
        <f t="shared" si="0"/>
        <v>24.905000000000001</v>
      </c>
      <c r="C24" s="167">
        <f t="shared" si="1"/>
        <v>1677.6008000000002</v>
      </c>
      <c r="D24" s="167">
        <f t="shared" si="2"/>
        <v>519.02020000000005</v>
      </c>
      <c r="F24">
        <f t="shared" si="3"/>
        <v>24.905000000000001</v>
      </c>
      <c r="G24" s="18">
        <f t="shared" si="4"/>
        <v>1695.0343</v>
      </c>
      <c r="H24" s="18">
        <f t="shared" si="5"/>
        <v>548.15905000000009</v>
      </c>
      <c r="J24" s="170" t="s">
        <v>150</v>
      </c>
      <c r="K24" s="168">
        <f t="shared" si="6"/>
        <v>4439.8143500000006</v>
      </c>
    </row>
    <row r="25" spans="1:11" ht="17.100000000000001" customHeight="1" thickBot="1">
      <c r="A25">
        <v>7.2590000000000003</v>
      </c>
      <c r="B25">
        <f t="shared" si="0"/>
        <v>36.295000000000002</v>
      </c>
      <c r="C25" s="167">
        <f t="shared" si="1"/>
        <v>2444.8312000000001</v>
      </c>
      <c r="D25" s="167">
        <f t="shared" si="2"/>
        <v>756.38780000000008</v>
      </c>
      <c r="F25">
        <f t="shared" si="3"/>
        <v>36.295000000000002</v>
      </c>
      <c r="G25" s="18">
        <f t="shared" si="4"/>
        <v>2470.2377000000001</v>
      </c>
      <c r="H25" s="18">
        <f t="shared" si="5"/>
        <v>798.85295000000008</v>
      </c>
      <c r="J25" s="170" t="s">
        <v>151</v>
      </c>
      <c r="K25" s="168">
        <f t="shared" si="6"/>
        <v>6470.3096500000011</v>
      </c>
    </row>
    <row r="26" spans="1:11" ht="17.100000000000001" customHeight="1" thickBot="1">
      <c r="A26">
        <v>9.5370000000000008</v>
      </c>
      <c r="B26">
        <f t="shared" si="0"/>
        <v>47.685000000000002</v>
      </c>
      <c r="C26" s="167">
        <f t="shared" si="1"/>
        <v>3212.0616</v>
      </c>
      <c r="D26" s="167">
        <f t="shared" si="2"/>
        <v>993.75540000000001</v>
      </c>
      <c r="F26">
        <f t="shared" si="3"/>
        <v>47.685000000000002</v>
      </c>
      <c r="G26" s="18">
        <f t="shared" si="4"/>
        <v>3245.4411000000005</v>
      </c>
      <c r="H26" s="18">
        <f t="shared" si="5"/>
        <v>1049.5468500000002</v>
      </c>
      <c r="J26" s="170" t="s">
        <v>152</v>
      </c>
      <c r="K26" s="168">
        <f t="shared" si="6"/>
        <v>8500.8049500000016</v>
      </c>
    </row>
    <row r="27" spans="1:11" ht="17.100000000000001" customHeight="1" thickBot="1">
      <c r="A27">
        <v>13.311</v>
      </c>
      <c r="B27">
        <f t="shared" si="0"/>
        <v>66.555000000000007</v>
      </c>
      <c r="C27" s="167">
        <f t="shared" si="1"/>
        <v>4483.1448</v>
      </c>
      <c r="D27" s="167">
        <f t="shared" si="2"/>
        <v>1387.0062</v>
      </c>
      <c r="F27">
        <f t="shared" si="3"/>
        <v>66.555000000000007</v>
      </c>
      <c r="G27" s="18">
        <f t="shared" si="4"/>
        <v>4529.7333000000008</v>
      </c>
      <c r="H27" s="18">
        <f t="shared" si="5"/>
        <v>1464.8755500000002</v>
      </c>
      <c r="J27" s="170" t="s">
        <v>153</v>
      </c>
      <c r="K27" s="168">
        <f t="shared" si="6"/>
        <v>11864.759850000002</v>
      </c>
    </row>
    <row r="28" spans="1:11" ht="17.100000000000001" customHeight="1" thickBot="1">
      <c r="A28">
        <v>6.0519999999999996</v>
      </c>
      <c r="B28">
        <f t="shared" si="0"/>
        <v>30.259999999999998</v>
      </c>
      <c r="C28" s="167">
        <f t="shared" si="1"/>
        <v>2038.3136</v>
      </c>
      <c r="D28" s="167">
        <f t="shared" si="2"/>
        <v>630.61839999999995</v>
      </c>
      <c r="F28">
        <f t="shared" si="3"/>
        <v>30.259999999999998</v>
      </c>
      <c r="G28" s="18">
        <f t="shared" si="4"/>
        <v>2059.4955999999997</v>
      </c>
      <c r="H28" s="18">
        <f t="shared" si="5"/>
        <v>666.02260000000001</v>
      </c>
      <c r="J28" s="170" t="s">
        <v>154</v>
      </c>
      <c r="K28" s="168">
        <f t="shared" si="6"/>
        <v>5394.4501999999993</v>
      </c>
    </row>
    <row r="29" spans="1:11" ht="17.100000000000001" customHeight="1" thickBot="1">
      <c r="A29">
        <v>6.0519999999999996</v>
      </c>
      <c r="B29">
        <f t="shared" si="0"/>
        <v>30.259999999999998</v>
      </c>
      <c r="C29" s="167">
        <f t="shared" si="1"/>
        <v>2038.3136</v>
      </c>
      <c r="D29" s="167">
        <f t="shared" si="2"/>
        <v>630.61839999999995</v>
      </c>
      <c r="F29">
        <f t="shared" si="3"/>
        <v>30.259999999999998</v>
      </c>
      <c r="G29" s="18">
        <f t="shared" si="4"/>
        <v>2059.4955999999997</v>
      </c>
      <c r="H29" s="18">
        <f t="shared" si="5"/>
        <v>666.02260000000001</v>
      </c>
      <c r="J29" s="170" t="s">
        <v>155</v>
      </c>
      <c r="K29" s="168">
        <f t="shared" si="6"/>
        <v>5394.4501999999993</v>
      </c>
    </row>
    <row r="30" spans="1:11" ht="17.100000000000001" customHeight="1" thickBot="1">
      <c r="A30">
        <v>6.0519999999999996</v>
      </c>
      <c r="B30">
        <f t="shared" si="0"/>
        <v>30.259999999999998</v>
      </c>
      <c r="C30" s="167">
        <f t="shared" si="1"/>
        <v>2038.3136</v>
      </c>
      <c r="D30" s="167">
        <f t="shared" si="2"/>
        <v>630.61839999999995</v>
      </c>
      <c r="F30">
        <f t="shared" si="3"/>
        <v>30.259999999999998</v>
      </c>
      <c r="G30" s="18">
        <f t="shared" si="4"/>
        <v>2059.4955999999997</v>
      </c>
      <c r="H30" s="18">
        <f t="shared" si="5"/>
        <v>666.02260000000001</v>
      </c>
      <c r="J30" s="170" t="s">
        <v>156</v>
      </c>
      <c r="K30" s="168">
        <f t="shared" si="6"/>
        <v>5394.4501999999993</v>
      </c>
    </row>
    <row r="31" spans="1:11" ht="17.100000000000001" customHeight="1" thickBot="1">
      <c r="A31">
        <v>5.6950000000000003</v>
      </c>
      <c r="B31">
        <f t="shared" si="0"/>
        <v>28.475000000000001</v>
      </c>
      <c r="C31" s="167">
        <f t="shared" si="1"/>
        <v>1918.076</v>
      </c>
      <c r="D31" s="167">
        <f t="shared" si="2"/>
        <v>593.41899999999998</v>
      </c>
      <c r="F31">
        <f t="shared" si="3"/>
        <v>28.475000000000001</v>
      </c>
      <c r="G31" s="18">
        <f t="shared" si="4"/>
        <v>1938.0085000000001</v>
      </c>
      <c r="H31" s="18">
        <f t="shared" si="5"/>
        <v>626.73475000000008</v>
      </c>
      <c r="J31" s="170" t="s">
        <v>157</v>
      </c>
      <c r="K31" s="168">
        <f t="shared" si="6"/>
        <v>5076.2382500000003</v>
      </c>
    </row>
    <row r="32" spans="1:11" ht="17.100000000000001" customHeight="1" thickBot="1">
      <c r="A32">
        <v>6.0519999999999996</v>
      </c>
      <c r="B32">
        <f t="shared" si="0"/>
        <v>30.259999999999998</v>
      </c>
      <c r="C32" s="167">
        <f t="shared" si="1"/>
        <v>2038.3136</v>
      </c>
      <c r="D32" s="167">
        <f t="shared" si="2"/>
        <v>630.61839999999995</v>
      </c>
      <c r="F32">
        <f t="shared" si="3"/>
        <v>30.259999999999998</v>
      </c>
      <c r="G32" s="18">
        <f t="shared" si="4"/>
        <v>2059.4955999999997</v>
      </c>
      <c r="H32" s="18">
        <f t="shared" si="5"/>
        <v>666.02260000000001</v>
      </c>
      <c r="J32" s="170" t="s">
        <v>158</v>
      </c>
      <c r="K32" s="168">
        <f t="shared" si="6"/>
        <v>5394.4501999999993</v>
      </c>
    </row>
    <row r="33" spans="1:11" ht="17.100000000000001" customHeight="1" thickBot="1">
      <c r="A33">
        <v>6.0519999999999996</v>
      </c>
      <c r="B33">
        <f t="shared" si="0"/>
        <v>30.259999999999998</v>
      </c>
      <c r="C33" s="167">
        <f t="shared" si="1"/>
        <v>2038.3136</v>
      </c>
      <c r="D33" s="167">
        <f t="shared" si="2"/>
        <v>630.61839999999995</v>
      </c>
      <c r="F33">
        <f t="shared" si="3"/>
        <v>30.259999999999998</v>
      </c>
      <c r="G33" s="18">
        <f t="shared" si="4"/>
        <v>2059.4955999999997</v>
      </c>
      <c r="H33" s="18">
        <f t="shared" si="5"/>
        <v>666.02260000000001</v>
      </c>
      <c r="J33" s="170" t="s">
        <v>159</v>
      </c>
      <c r="K33" s="168">
        <f t="shared" si="6"/>
        <v>5394.4501999999993</v>
      </c>
    </row>
    <row r="34" spans="1:11" ht="17.100000000000001" customHeight="1" thickBot="1">
      <c r="A34">
        <v>6.0519999999999996</v>
      </c>
      <c r="B34">
        <f t="shared" si="0"/>
        <v>30.259999999999998</v>
      </c>
      <c r="C34" s="167">
        <f t="shared" si="1"/>
        <v>2038.3136</v>
      </c>
      <c r="D34" s="167">
        <f t="shared" si="2"/>
        <v>630.61839999999995</v>
      </c>
      <c r="F34">
        <f t="shared" si="3"/>
        <v>30.259999999999998</v>
      </c>
      <c r="G34" s="18">
        <f t="shared" si="4"/>
        <v>2059.4955999999997</v>
      </c>
      <c r="H34" s="18">
        <f t="shared" si="5"/>
        <v>666.02260000000001</v>
      </c>
      <c r="J34" s="170" t="s">
        <v>160</v>
      </c>
      <c r="K34" s="168">
        <f t="shared" si="6"/>
        <v>5394.4501999999993</v>
      </c>
    </row>
    <row r="35" spans="1:11" ht="17.100000000000001" customHeight="1">
      <c r="C35" s="18">
        <f>SUM(C7:C34)</f>
        <v>71300.896800000002</v>
      </c>
      <c r="D35" s="18">
        <f>SUM(D7:D34)</f>
        <v>22059.244200000005</v>
      </c>
      <c r="E35" s="18"/>
      <c r="F35" s="18"/>
      <c r="G35" s="18">
        <f>SUM(G7:G34)</f>
        <v>72041.850300000006</v>
      </c>
      <c r="H35" s="18">
        <f>SUM(H7:H34)</f>
        <v>23297.695050000006</v>
      </c>
      <c r="K35" s="168">
        <f>SUM(K7:K34)</f>
        <v>188699.68634999995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98"/>
  <sheetViews>
    <sheetView tabSelected="1" view="pageBreakPreview" topLeftCell="A76" zoomScaleSheetLayoutView="100" workbookViewId="0">
      <selection activeCell="A92" sqref="A92:H92"/>
    </sheetView>
  </sheetViews>
  <sheetFormatPr defaultRowHeight="12.75"/>
  <cols>
    <col min="1" max="1" width="12.28515625" style="127" customWidth="1"/>
    <col min="2" max="2" width="17.28515625" style="127" customWidth="1"/>
    <col min="3" max="3" width="12.85546875" style="127" customWidth="1"/>
    <col min="4" max="4" width="12.5703125" style="127" customWidth="1"/>
    <col min="5" max="5" width="13.5703125" style="127" customWidth="1"/>
    <col min="6" max="6" width="15.28515625" style="127" customWidth="1"/>
    <col min="7" max="7" width="13.85546875" style="127" customWidth="1"/>
    <col min="8" max="8" width="18.5703125" style="127" customWidth="1"/>
    <col min="9" max="9" width="10.85546875" style="127" customWidth="1"/>
    <col min="10" max="10" width="3.5703125" style="127" customWidth="1"/>
    <col min="11" max="12" width="9.140625" style="127"/>
    <col min="13" max="13" width="0.5703125" style="127" customWidth="1"/>
    <col min="14" max="15" width="9.140625" style="127"/>
    <col min="16" max="16" width="1.42578125" style="127" customWidth="1"/>
    <col min="17" max="16384" width="9.140625" style="127"/>
  </cols>
  <sheetData>
    <row r="1" spans="1:16" ht="18">
      <c r="A1" s="222" t="s">
        <v>99</v>
      </c>
      <c r="B1" s="222"/>
      <c r="C1" s="222"/>
      <c r="D1" s="222"/>
      <c r="E1" s="222"/>
      <c r="F1" s="222"/>
      <c r="G1" s="222"/>
      <c r="H1" s="222"/>
      <c r="I1" s="58"/>
      <c r="J1" s="58"/>
      <c r="K1" s="58"/>
      <c r="L1" s="58"/>
      <c r="M1" s="58"/>
      <c r="N1" s="58"/>
      <c r="O1" s="58"/>
    </row>
    <row r="2" spans="1:16" ht="18">
      <c r="A2" s="222" t="s">
        <v>6</v>
      </c>
      <c r="B2" s="222"/>
      <c r="C2" s="222"/>
      <c r="D2" s="222"/>
      <c r="E2" s="222"/>
      <c r="F2" s="222"/>
      <c r="G2" s="222"/>
      <c r="H2" s="222"/>
      <c r="I2" s="58"/>
      <c r="J2" s="58"/>
      <c r="K2" s="58"/>
      <c r="L2" s="58"/>
      <c r="M2" s="58"/>
      <c r="N2" s="58"/>
      <c r="O2" s="58"/>
    </row>
    <row r="3" spans="1:16" ht="18">
      <c r="A3" s="223" t="s">
        <v>180</v>
      </c>
      <c r="B3" s="223"/>
      <c r="C3" s="223"/>
      <c r="D3" s="223"/>
      <c r="E3" s="223"/>
      <c r="F3" s="223"/>
      <c r="G3" s="223"/>
      <c r="H3" s="223"/>
      <c r="I3" s="59"/>
      <c r="J3" s="59"/>
      <c r="K3" s="59"/>
      <c r="L3" s="59"/>
      <c r="M3" s="59"/>
      <c r="N3" s="59"/>
      <c r="O3" s="59"/>
    </row>
    <row r="4" spans="1:16" ht="9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60"/>
      <c r="L4" s="60"/>
      <c r="M4" s="60"/>
      <c r="N4" s="60"/>
      <c r="O4" s="60"/>
      <c r="P4" s="60"/>
    </row>
    <row r="5" spans="1:16" s="63" customFormat="1" ht="14.25" customHeight="1">
      <c r="A5" s="61" t="s">
        <v>79</v>
      </c>
      <c r="B5" s="61"/>
      <c r="C5" s="61"/>
      <c r="D5" s="61"/>
      <c r="E5" s="208" t="s">
        <v>169</v>
      </c>
      <c r="F5" s="208"/>
      <c r="G5" s="208"/>
      <c r="H5" s="208"/>
      <c r="I5" s="62"/>
      <c r="J5" s="62"/>
    </row>
    <row r="6" spans="1:16" s="63" customFormat="1" ht="14.25">
      <c r="A6" s="61" t="s">
        <v>13</v>
      </c>
      <c r="B6" s="61"/>
      <c r="C6" s="61"/>
      <c r="D6" s="61"/>
      <c r="E6" s="208"/>
      <c r="F6" s="208"/>
      <c r="G6" s="208"/>
      <c r="H6" s="208"/>
      <c r="I6" s="62"/>
      <c r="J6" s="62"/>
    </row>
    <row r="7" spans="1:16" s="63" customFormat="1" ht="14.25">
      <c r="A7" s="61" t="s">
        <v>2</v>
      </c>
      <c r="B7" s="61"/>
      <c r="C7" s="61"/>
      <c r="D7" s="61"/>
      <c r="E7" s="208"/>
      <c r="F7" s="208"/>
      <c r="G7" s="208"/>
      <c r="H7" s="208"/>
      <c r="I7" s="62"/>
      <c r="J7" s="62"/>
    </row>
    <row r="8" spans="1:16" s="63" customFormat="1" ht="14.25">
      <c r="A8" s="61" t="s">
        <v>7</v>
      </c>
      <c r="B8" s="61"/>
      <c r="C8" s="61"/>
      <c r="D8" s="61"/>
      <c r="E8" s="208"/>
      <c r="F8" s="208"/>
      <c r="G8" s="208"/>
      <c r="H8" s="208"/>
      <c r="I8" s="64"/>
      <c r="J8" s="64"/>
    </row>
    <row r="9" spans="1:16" s="63" customFormat="1" ht="14.25">
      <c r="A9" s="61" t="s">
        <v>76</v>
      </c>
      <c r="B9" s="61"/>
      <c r="C9" s="61"/>
      <c r="D9" s="61"/>
      <c r="E9" s="144" t="s">
        <v>83</v>
      </c>
      <c r="F9" s="62"/>
      <c r="G9" s="62"/>
      <c r="H9" s="62"/>
      <c r="I9" s="62"/>
      <c r="J9" s="62"/>
    </row>
    <row r="10" spans="1:16" s="63" customFormat="1" ht="14.25">
      <c r="A10" s="61" t="s">
        <v>30</v>
      </c>
      <c r="B10" s="61"/>
      <c r="C10" s="61"/>
      <c r="D10" s="61"/>
      <c r="F10" s="144"/>
      <c r="G10" s="144"/>
      <c r="H10" s="144"/>
      <c r="I10" s="64"/>
      <c r="J10" s="64"/>
    </row>
    <row r="11" spans="1:16" s="63" customFormat="1" ht="14.25">
      <c r="A11" s="61" t="s">
        <v>77</v>
      </c>
      <c r="B11" s="61"/>
      <c r="C11" s="61"/>
      <c r="D11" s="61"/>
      <c r="E11" s="61" t="s">
        <v>87</v>
      </c>
      <c r="F11" s="61"/>
      <c r="G11" s="61" t="s">
        <v>170</v>
      </c>
      <c r="I11" s="61"/>
      <c r="J11" s="61"/>
    </row>
    <row r="12" spans="1:16" s="63" customFormat="1" ht="14.25">
      <c r="A12" s="61" t="s">
        <v>78</v>
      </c>
      <c r="B12" s="61"/>
      <c r="C12" s="61"/>
      <c r="D12" s="61"/>
      <c r="E12" s="61" t="s">
        <v>84</v>
      </c>
      <c r="F12" s="61"/>
      <c r="G12" s="61" t="s">
        <v>121</v>
      </c>
      <c r="I12" s="61"/>
      <c r="J12" s="61"/>
    </row>
    <row r="13" spans="1:16" s="63" customFormat="1" ht="14.25">
      <c r="A13" s="61" t="s">
        <v>80</v>
      </c>
      <c r="B13" s="61"/>
      <c r="C13" s="61"/>
      <c r="D13" s="61"/>
      <c r="E13" s="61" t="s">
        <v>85</v>
      </c>
      <c r="F13" s="61"/>
      <c r="G13" s="61" t="s">
        <v>86</v>
      </c>
      <c r="I13" s="61"/>
      <c r="J13" s="61"/>
    </row>
    <row r="14" spans="1:16" s="63" customFormat="1" ht="14.25">
      <c r="A14" s="61" t="s">
        <v>81</v>
      </c>
      <c r="B14" s="61"/>
      <c r="C14" s="61"/>
      <c r="D14" s="61"/>
      <c r="E14" s="61"/>
      <c r="F14" s="61"/>
      <c r="G14" s="61"/>
      <c r="I14" s="61"/>
      <c r="J14" s="61"/>
    </row>
    <row r="15" spans="1:16" s="63" customFormat="1" ht="14.25">
      <c r="A15" s="61" t="s">
        <v>82</v>
      </c>
      <c r="B15" s="61"/>
      <c r="C15" s="61"/>
      <c r="D15" s="61"/>
      <c r="E15" s="61"/>
      <c r="F15" s="61"/>
      <c r="G15" s="61"/>
      <c r="I15" s="61"/>
      <c r="J15" s="61"/>
    </row>
    <row r="16" spans="1:16" ht="9" customHeight="1">
      <c r="A16" s="65"/>
      <c r="B16" s="65"/>
      <c r="C16" s="65"/>
      <c r="D16" s="65"/>
      <c r="E16" s="61"/>
      <c r="F16" s="61"/>
      <c r="G16" s="61"/>
      <c r="H16" s="61"/>
      <c r="I16" s="66"/>
      <c r="J16" s="66"/>
      <c r="K16" s="67"/>
      <c r="L16" s="67"/>
      <c r="M16" s="67"/>
      <c r="N16" s="67"/>
      <c r="O16" s="67"/>
      <c r="P16" s="67"/>
    </row>
    <row r="17" spans="1:16" ht="30.2" customHeight="1">
      <c r="A17" s="208" t="s">
        <v>187</v>
      </c>
      <c r="B17" s="208"/>
      <c r="C17" s="208"/>
      <c r="D17" s="208"/>
      <c r="E17" s="208"/>
      <c r="F17" s="208"/>
      <c r="G17" s="208"/>
      <c r="H17" s="208"/>
      <c r="I17" s="62"/>
      <c r="J17" s="62"/>
      <c r="K17" s="68"/>
      <c r="L17" s="68"/>
      <c r="M17" s="68"/>
      <c r="N17" s="68"/>
      <c r="O17" s="68"/>
      <c r="P17" s="68"/>
    </row>
    <row r="18" spans="1:16" ht="7.5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8"/>
      <c r="L18" s="68"/>
      <c r="M18" s="68"/>
      <c r="N18" s="68"/>
      <c r="O18" s="68"/>
      <c r="P18" s="68"/>
    </row>
    <row r="19" spans="1:16" ht="15.75">
      <c r="A19" s="224" t="s">
        <v>181</v>
      </c>
      <c r="B19" s="224"/>
      <c r="C19" s="224"/>
      <c r="D19" s="224"/>
      <c r="E19" s="224"/>
      <c r="F19" s="224"/>
      <c r="G19" s="224"/>
      <c r="H19" s="224"/>
      <c r="I19" s="70"/>
      <c r="J19" s="70"/>
      <c r="K19" s="70"/>
      <c r="L19" s="70"/>
      <c r="M19" s="70"/>
      <c r="N19" s="70"/>
      <c r="O19" s="70"/>
      <c r="P19" s="70"/>
    </row>
    <row r="20" spans="1:16" ht="15.75">
      <c r="A20" s="148"/>
      <c r="B20" s="225"/>
      <c r="C20" s="225"/>
      <c r="D20" s="225"/>
      <c r="E20" s="225"/>
      <c r="F20" s="225"/>
      <c r="G20" s="148"/>
      <c r="H20" s="149" t="s">
        <v>88</v>
      </c>
      <c r="I20" s="84"/>
      <c r="K20" s="68"/>
      <c r="M20" s="68"/>
      <c r="N20" s="68"/>
      <c r="O20" s="72"/>
    </row>
    <row r="21" spans="1:16" s="63" customFormat="1" ht="15" customHeight="1">
      <c r="A21" s="232" t="s">
        <v>124</v>
      </c>
      <c r="B21" s="233"/>
      <c r="C21" s="246" t="s">
        <v>126</v>
      </c>
      <c r="D21" s="262"/>
      <c r="E21" s="247"/>
      <c r="F21" s="197" t="s">
        <v>128</v>
      </c>
      <c r="G21" s="216" t="s">
        <v>125</v>
      </c>
      <c r="H21" s="216" t="s">
        <v>129</v>
      </c>
      <c r="I21" s="73"/>
    </row>
    <row r="22" spans="1:16" s="63" customFormat="1" ht="15" customHeight="1">
      <c r="A22" s="234"/>
      <c r="B22" s="235"/>
      <c r="C22" s="248"/>
      <c r="D22" s="263"/>
      <c r="E22" s="249"/>
      <c r="F22" s="198"/>
      <c r="G22" s="217"/>
      <c r="H22" s="217"/>
      <c r="I22" s="73"/>
    </row>
    <row r="23" spans="1:16" s="63" customFormat="1" ht="89.45" customHeight="1">
      <c r="A23" s="244"/>
      <c r="B23" s="236"/>
      <c r="C23" s="250"/>
      <c r="D23" s="264"/>
      <c r="E23" s="251"/>
      <c r="F23" s="199"/>
      <c r="G23" s="217"/>
      <c r="H23" s="217"/>
      <c r="I23" s="135"/>
    </row>
    <row r="24" spans="1:16" s="76" customFormat="1" ht="14.25">
      <c r="A24" s="243">
        <v>1426095</v>
      </c>
      <c r="B24" s="239"/>
      <c r="C24" s="243">
        <v>1412683.07</v>
      </c>
      <c r="D24" s="238"/>
      <c r="E24" s="239"/>
      <c r="F24" s="150">
        <f>C24-A24</f>
        <v>-13411.929999999935</v>
      </c>
      <c r="G24" s="175">
        <f>H58</f>
        <v>1374709.2985000003</v>
      </c>
      <c r="H24" s="174">
        <f>C24-G24</f>
        <v>37973.771499999799</v>
      </c>
      <c r="I24" s="74"/>
      <c r="J24" s="75"/>
    </row>
    <row r="25" spans="1:16" ht="48.2" customHeight="1">
      <c r="A25" s="237" t="s">
        <v>188</v>
      </c>
      <c r="B25" s="237"/>
      <c r="C25" s="237"/>
      <c r="D25" s="237"/>
      <c r="E25" s="237"/>
      <c r="F25" s="237"/>
      <c r="G25" s="237"/>
      <c r="H25" s="237"/>
      <c r="I25" s="71"/>
      <c r="J25" s="71"/>
      <c r="K25" s="68"/>
      <c r="L25" s="68"/>
      <c r="M25" s="68"/>
      <c r="N25" s="68"/>
      <c r="O25" s="68"/>
      <c r="P25" s="68"/>
    </row>
    <row r="26" spans="1:16" ht="29.25" customHeight="1">
      <c r="A26" s="200" t="s">
        <v>189</v>
      </c>
      <c r="B26" s="200"/>
      <c r="C26" s="200"/>
      <c r="D26" s="200"/>
      <c r="E26" s="200"/>
      <c r="F26" s="200"/>
      <c r="G26" s="200"/>
      <c r="H26" s="200"/>
      <c r="I26" s="147"/>
      <c r="J26" s="147"/>
      <c r="K26" s="68"/>
      <c r="L26" s="68"/>
      <c r="M26" s="68"/>
      <c r="N26" s="68"/>
      <c r="O26" s="68"/>
      <c r="P26" s="68"/>
    </row>
    <row r="27" spans="1:16" ht="12.2" customHeight="1">
      <c r="A27" s="258" t="s">
        <v>183</v>
      </c>
      <c r="B27" s="258"/>
      <c r="C27" s="258"/>
      <c r="D27" s="258"/>
      <c r="E27" s="258"/>
      <c r="F27" s="258"/>
      <c r="G27" s="258"/>
      <c r="H27" s="258"/>
      <c r="I27" s="147"/>
      <c r="J27" s="147"/>
      <c r="K27" s="68"/>
      <c r="L27" s="68"/>
      <c r="M27" s="68"/>
      <c r="N27" s="68"/>
      <c r="O27" s="68"/>
      <c r="P27" s="68"/>
    </row>
    <row r="28" spans="1:16" ht="46.15" customHeight="1">
      <c r="A28" s="180" t="s">
        <v>173</v>
      </c>
      <c r="B28" s="180" t="s">
        <v>174</v>
      </c>
      <c r="C28" s="181" t="s">
        <v>175</v>
      </c>
      <c r="D28" s="81"/>
      <c r="E28" s="81"/>
      <c r="F28" s="81"/>
      <c r="G28" s="81"/>
      <c r="H28" s="81"/>
      <c r="I28" s="147"/>
      <c r="J28" s="147"/>
      <c r="K28" s="68"/>
      <c r="L28" s="68"/>
      <c r="M28" s="68"/>
      <c r="N28" s="68"/>
      <c r="O28" s="68"/>
      <c r="P28" s="68"/>
    </row>
    <row r="29" spans="1:16" ht="23.85" customHeight="1">
      <c r="A29" s="182">
        <v>681711.51</v>
      </c>
      <c r="B29" s="182">
        <v>743262.52</v>
      </c>
      <c r="C29" s="182">
        <v>4961926</v>
      </c>
      <c r="D29" s="81"/>
      <c r="E29" s="81"/>
      <c r="F29" s="81"/>
      <c r="G29" s="81"/>
      <c r="H29" s="81"/>
      <c r="I29" s="147"/>
      <c r="J29" s="147"/>
      <c r="K29" s="68"/>
      <c r="L29" s="68"/>
      <c r="M29" s="68"/>
      <c r="N29" s="68"/>
      <c r="O29" s="68"/>
      <c r="P29" s="68"/>
    </row>
    <row r="30" spans="1:16" ht="14.25" hidden="1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68"/>
      <c r="L30" s="68"/>
      <c r="M30" s="68"/>
      <c r="N30" s="68"/>
      <c r="O30" s="68"/>
      <c r="P30" s="68"/>
    </row>
    <row r="31" spans="1:16" ht="14.25">
      <c r="A31" s="209" t="s">
        <v>184</v>
      </c>
      <c r="B31" s="209"/>
      <c r="C31" s="209"/>
      <c r="D31" s="209"/>
      <c r="E31" s="209"/>
      <c r="F31" s="209"/>
      <c r="G31" s="209"/>
      <c r="H31" s="209"/>
      <c r="I31" s="61"/>
      <c r="J31" s="61"/>
      <c r="K31" s="63"/>
      <c r="L31" s="63"/>
      <c r="M31" s="63"/>
      <c r="N31" s="63"/>
      <c r="O31" s="63"/>
      <c r="P31" s="63"/>
    </row>
    <row r="32" spans="1:16" ht="14.25" hidden="1">
      <c r="A32" s="61"/>
      <c r="B32" s="61"/>
      <c r="C32" s="61"/>
      <c r="D32" s="61"/>
      <c r="E32" s="61"/>
      <c r="F32" s="61"/>
      <c r="G32" s="80"/>
      <c r="H32" s="80"/>
      <c r="I32" s="61"/>
      <c r="J32" s="63"/>
      <c r="K32" s="63"/>
      <c r="L32" s="63"/>
      <c r="M32" s="63"/>
      <c r="N32" s="63"/>
      <c r="O32" s="63"/>
    </row>
    <row r="33" spans="1:18" ht="15" customHeight="1">
      <c r="A33" s="208" t="s">
        <v>103</v>
      </c>
      <c r="B33" s="208"/>
      <c r="C33" s="208"/>
      <c r="D33" s="208"/>
      <c r="E33" s="208"/>
      <c r="F33" s="208"/>
      <c r="G33" s="208"/>
      <c r="H33" s="208"/>
      <c r="I33" s="62"/>
      <c r="J33" s="62"/>
      <c r="K33" s="62"/>
      <c r="L33" s="62"/>
      <c r="M33" s="62"/>
      <c r="N33" s="62"/>
      <c r="O33" s="62"/>
      <c r="P33" s="62"/>
    </row>
    <row r="34" spans="1:18" ht="14.25">
      <c r="A34" s="61" t="s">
        <v>104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1:18" ht="10.5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8" s="130" customFormat="1" ht="15.75">
      <c r="A36" s="191" t="s">
        <v>89</v>
      </c>
      <c r="B36" s="191"/>
      <c r="C36" s="191"/>
      <c r="D36" s="191"/>
      <c r="E36" s="191"/>
      <c r="F36" s="191"/>
      <c r="G36" s="191"/>
      <c r="H36" s="191"/>
      <c r="I36" s="82"/>
      <c r="J36" s="82"/>
    </row>
    <row r="37" spans="1:18" s="130" customFormat="1">
      <c r="A37" s="83"/>
      <c r="B37" s="131"/>
      <c r="C37" s="202"/>
      <c r="D37" s="202"/>
      <c r="E37" s="203"/>
      <c r="F37" s="203"/>
      <c r="G37" s="131"/>
      <c r="H37" s="84" t="s">
        <v>90</v>
      </c>
      <c r="I37" s="84"/>
    </row>
    <row r="38" spans="1:18" s="130" customFormat="1" ht="15.75">
      <c r="A38" s="195" t="s">
        <v>28</v>
      </c>
      <c r="B38" s="196"/>
      <c r="C38" s="213" t="s">
        <v>8</v>
      </c>
      <c r="D38" s="215"/>
      <c r="E38" s="215"/>
      <c r="F38" s="215"/>
      <c r="G38" s="214"/>
      <c r="H38" s="85" t="s">
        <v>91</v>
      </c>
      <c r="L38" s="86"/>
      <c r="M38" s="86"/>
      <c r="N38" s="86"/>
      <c r="O38" s="86"/>
      <c r="P38" s="86"/>
      <c r="Q38" s="86"/>
      <c r="R38" s="86"/>
    </row>
    <row r="39" spans="1:18" s="130" customFormat="1" ht="15" customHeight="1">
      <c r="A39" s="252" t="s">
        <v>102</v>
      </c>
      <c r="B39" s="253"/>
      <c r="C39" s="259" t="s">
        <v>168</v>
      </c>
      <c r="D39" s="260"/>
      <c r="E39" s="260"/>
      <c r="F39" s="260"/>
      <c r="G39" s="261"/>
      <c r="H39" s="94">
        <v>21855</v>
      </c>
      <c r="L39" s="86"/>
      <c r="M39" s="86"/>
      <c r="N39" s="86"/>
      <c r="O39" s="86"/>
      <c r="P39" s="86"/>
      <c r="Q39" s="86"/>
      <c r="R39" s="86"/>
    </row>
    <row r="40" spans="1:18" s="130" customFormat="1" ht="15" customHeight="1">
      <c r="A40" s="252"/>
      <c r="B40" s="253"/>
      <c r="C40" s="218" t="s">
        <v>192</v>
      </c>
      <c r="D40" s="219"/>
      <c r="E40" s="219"/>
      <c r="F40" s="219"/>
      <c r="G40" s="220"/>
      <c r="H40" s="94">
        <v>692</v>
      </c>
      <c r="L40" s="86"/>
      <c r="M40" s="86"/>
      <c r="N40" s="86"/>
      <c r="O40" s="86"/>
      <c r="P40" s="86"/>
      <c r="Q40" s="86"/>
      <c r="R40" s="86"/>
    </row>
    <row r="41" spans="1:18" s="130" customFormat="1" ht="15" customHeight="1">
      <c r="A41" s="252"/>
      <c r="B41" s="253"/>
      <c r="C41" s="104" t="s">
        <v>167</v>
      </c>
      <c r="D41" s="87"/>
      <c r="E41" s="87"/>
      <c r="F41" s="87"/>
      <c r="G41" s="87"/>
      <c r="H41" s="94">
        <v>112104</v>
      </c>
      <c r="L41" s="86"/>
      <c r="M41" s="86"/>
      <c r="N41" s="86"/>
      <c r="O41" s="86"/>
      <c r="P41" s="86"/>
      <c r="Q41" s="86"/>
      <c r="R41" s="86"/>
    </row>
    <row r="42" spans="1:18" s="130" customFormat="1" ht="15" customHeight="1">
      <c r="A42" s="252"/>
      <c r="B42" s="253"/>
      <c r="C42" s="218" t="s">
        <v>166</v>
      </c>
      <c r="D42" s="219"/>
      <c r="E42" s="219"/>
      <c r="F42" s="219"/>
      <c r="G42" s="220"/>
      <c r="H42" s="94">
        <v>22833</v>
      </c>
      <c r="L42" s="86"/>
      <c r="M42" s="86"/>
      <c r="N42" s="86"/>
      <c r="O42" s="86"/>
      <c r="P42" s="86"/>
      <c r="Q42" s="86"/>
      <c r="R42" s="86"/>
    </row>
    <row r="43" spans="1:18" s="130" customFormat="1" ht="15" customHeight="1">
      <c r="A43" s="254"/>
      <c r="B43" s="255"/>
      <c r="C43" s="104"/>
      <c r="D43" s="87"/>
      <c r="E43" s="87"/>
      <c r="F43" s="87"/>
      <c r="G43" s="87"/>
      <c r="H43" s="88">
        <f>SUM(H39:H42)</f>
        <v>157484</v>
      </c>
      <c r="K43" s="134"/>
      <c r="L43" s="86"/>
      <c r="M43" s="86"/>
      <c r="N43" s="86"/>
      <c r="O43" s="86"/>
      <c r="P43" s="86"/>
      <c r="Q43" s="86"/>
      <c r="R43" s="86"/>
    </row>
    <row r="44" spans="1:18">
      <c r="A44" s="89"/>
      <c r="B44" s="89"/>
      <c r="C44" s="89"/>
      <c r="D44" s="89"/>
      <c r="E44" s="90"/>
      <c r="F44" s="90"/>
      <c r="G44" s="90"/>
      <c r="H44" s="90"/>
      <c r="I44" s="90"/>
      <c r="J44" s="90"/>
    </row>
    <row r="45" spans="1:18" ht="42.75" customHeight="1">
      <c r="A45" s="208" t="s">
        <v>190</v>
      </c>
      <c r="B45" s="208"/>
      <c r="C45" s="208"/>
      <c r="D45" s="208"/>
      <c r="E45" s="208"/>
      <c r="F45" s="208"/>
      <c r="G45" s="208"/>
      <c r="H45" s="208"/>
      <c r="I45" s="62"/>
      <c r="J45" s="62"/>
    </row>
    <row r="46" spans="1:18">
      <c r="A46" s="89"/>
      <c r="B46" s="89"/>
      <c r="C46" s="89"/>
      <c r="D46" s="89"/>
      <c r="E46" s="90"/>
      <c r="F46" s="90"/>
      <c r="G46" s="90"/>
      <c r="H46" s="90"/>
      <c r="I46" s="90"/>
      <c r="J46" s="90"/>
    </row>
    <row r="47" spans="1:18" ht="36" customHeight="1">
      <c r="A47" s="227" t="s">
        <v>9</v>
      </c>
      <c r="B47" s="227"/>
      <c r="C47" s="227"/>
      <c r="D47" s="227"/>
      <c r="E47" s="227"/>
      <c r="F47" s="227"/>
      <c r="G47" s="227"/>
      <c r="H47" s="227"/>
      <c r="I47" s="91"/>
      <c r="J47" s="91"/>
      <c r="K47" s="70"/>
      <c r="L47" s="70"/>
      <c r="M47" s="70"/>
      <c r="N47" s="70"/>
      <c r="O47" s="70"/>
      <c r="P47" s="70"/>
    </row>
    <row r="48" spans="1:18" ht="15">
      <c r="A48" s="92"/>
      <c r="B48" s="92"/>
      <c r="C48" s="92"/>
      <c r="D48" s="92"/>
      <c r="E48" s="92"/>
      <c r="F48" s="92"/>
      <c r="G48" s="92"/>
      <c r="H48" s="93" t="s">
        <v>92</v>
      </c>
      <c r="J48" s="92"/>
      <c r="M48" s="92"/>
      <c r="N48" s="92"/>
      <c r="O48" s="92"/>
      <c r="P48" s="92"/>
    </row>
    <row r="49" spans="1:18" ht="15.75">
      <c r="A49" s="213" t="s">
        <v>28</v>
      </c>
      <c r="B49" s="214"/>
      <c r="C49" s="213" t="s">
        <v>12</v>
      </c>
      <c r="D49" s="215"/>
      <c r="E49" s="215"/>
      <c r="F49" s="215"/>
      <c r="G49" s="214"/>
      <c r="H49" s="85" t="s">
        <v>91</v>
      </c>
      <c r="I49" s="92"/>
      <c r="J49" s="92"/>
      <c r="K49" s="92"/>
      <c r="L49" s="92"/>
    </row>
    <row r="50" spans="1:18" ht="15" customHeight="1">
      <c r="A50" s="256" t="s">
        <v>102</v>
      </c>
      <c r="B50" s="256"/>
      <c r="C50" s="218" t="s">
        <v>93</v>
      </c>
      <c r="D50" s="219"/>
      <c r="E50" s="219"/>
      <c r="F50" s="219"/>
      <c r="G50" s="220"/>
      <c r="H50" s="94">
        <f>1.2*6225.33</f>
        <v>7470.3959999999997</v>
      </c>
      <c r="I50" s="92"/>
      <c r="J50" s="92"/>
      <c r="K50" s="92"/>
      <c r="L50" s="92"/>
    </row>
    <row r="51" spans="1:18" ht="15" customHeight="1">
      <c r="A51" s="256"/>
      <c r="B51" s="256"/>
      <c r="C51" s="218" t="s">
        <v>185</v>
      </c>
      <c r="D51" s="219"/>
      <c r="E51" s="219"/>
      <c r="F51" s="219"/>
      <c r="G51" s="220"/>
      <c r="H51" s="94">
        <v>796</v>
      </c>
      <c r="I51" s="92"/>
      <c r="J51" s="92"/>
      <c r="K51" s="92"/>
      <c r="L51" s="92"/>
    </row>
    <row r="52" spans="1:18" ht="8.4499999999999993" customHeight="1">
      <c r="A52" s="89"/>
      <c r="B52" s="89"/>
      <c r="C52" s="89"/>
      <c r="D52" s="89"/>
      <c r="E52" s="90"/>
      <c r="F52" s="90"/>
      <c r="G52" s="90"/>
      <c r="H52" s="90"/>
      <c r="I52" s="90"/>
      <c r="J52" s="90"/>
    </row>
    <row r="53" spans="1:18">
      <c r="A53" s="86" t="s">
        <v>75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</row>
    <row r="54" spans="1:18" ht="18" customHeight="1">
      <c r="A54" s="228" t="s">
        <v>27</v>
      </c>
      <c r="B54" s="228"/>
      <c r="C54" s="228"/>
      <c r="D54" s="228"/>
      <c r="E54" s="228"/>
      <c r="F54" s="228"/>
      <c r="G54" s="228"/>
      <c r="H54" s="228"/>
      <c r="I54" s="96"/>
      <c r="J54" s="96"/>
    </row>
    <row r="55" spans="1:18" ht="12.2" customHeight="1">
      <c r="A55" s="96"/>
      <c r="B55" s="96"/>
      <c r="C55" s="96"/>
      <c r="D55" s="96"/>
      <c r="E55" s="96"/>
      <c r="F55" s="96"/>
      <c r="G55" s="96"/>
      <c r="H55" s="96"/>
      <c r="I55" s="96"/>
      <c r="J55" s="96"/>
    </row>
    <row r="56" spans="1:18" ht="15.75">
      <c r="A56" s="201" t="s">
        <v>25</v>
      </c>
      <c r="B56" s="201"/>
      <c r="C56" s="201"/>
      <c r="D56" s="201"/>
      <c r="E56" s="201"/>
      <c r="F56" s="201"/>
      <c r="G56" s="201"/>
      <c r="H56" s="201"/>
      <c r="I56" s="70"/>
      <c r="J56" s="70"/>
    </row>
    <row r="57" spans="1:18" ht="13.7" customHeight="1">
      <c r="A57" s="97"/>
      <c r="B57" s="97"/>
      <c r="C57" s="97"/>
      <c r="D57" s="97"/>
      <c r="E57" s="97"/>
      <c r="F57" s="97"/>
      <c r="G57" s="97"/>
      <c r="H57" s="93" t="s">
        <v>94</v>
      </c>
      <c r="J57" s="97"/>
    </row>
    <row r="58" spans="1:18" ht="15.75">
      <c r="A58" s="205" t="s">
        <v>26</v>
      </c>
      <c r="B58" s="205"/>
      <c r="C58" s="205"/>
      <c r="D58" s="205"/>
      <c r="E58" s="205"/>
      <c r="F58" s="205"/>
      <c r="G58" s="206"/>
      <c r="H58" s="98">
        <f>SUM(H66:H77)+H60+H65</f>
        <v>1374709.2985000003</v>
      </c>
      <c r="I58" s="99"/>
      <c r="J58" s="99"/>
    </row>
    <row r="59" spans="1:18" ht="15">
      <c r="A59" s="100" t="s">
        <v>14</v>
      </c>
      <c r="B59" s="240" t="s">
        <v>15</v>
      </c>
      <c r="C59" s="241"/>
      <c r="D59" s="241"/>
      <c r="E59" s="241"/>
      <c r="F59" s="241"/>
      <c r="G59" s="242"/>
      <c r="H59" s="101" t="s">
        <v>16</v>
      </c>
      <c r="I59" s="102"/>
    </row>
    <row r="60" spans="1:18" ht="15.75">
      <c r="A60" s="103" t="s">
        <v>17</v>
      </c>
      <c r="B60" s="104" t="s">
        <v>122</v>
      </c>
      <c r="C60" s="87"/>
      <c r="D60" s="87"/>
      <c r="E60" s="87"/>
      <c r="F60" s="87"/>
      <c r="G60" s="87"/>
      <c r="H60" s="105">
        <f>SUM(H61:H64)</f>
        <v>102334.86869999999</v>
      </c>
      <c r="I60" s="71"/>
      <c r="K60" s="95"/>
      <c r="M60" s="86"/>
      <c r="N60" s="86"/>
      <c r="O60" s="86"/>
      <c r="P60" s="86"/>
      <c r="Q60" s="86"/>
      <c r="R60" s="86"/>
    </row>
    <row r="61" spans="1:18" ht="15">
      <c r="A61" s="103"/>
      <c r="B61" s="104" t="s">
        <v>0</v>
      </c>
      <c r="C61" s="87"/>
      <c r="D61" s="87"/>
      <c r="E61" s="87"/>
      <c r="F61" s="87"/>
      <c r="G61" s="87"/>
      <c r="H61" s="106">
        <f>238</f>
        <v>238</v>
      </c>
      <c r="I61" s="71"/>
      <c r="K61" s="95"/>
      <c r="M61" s="86"/>
      <c r="N61" s="86"/>
      <c r="O61" s="86"/>
      <c r="P61" s="86"/>
      <c r="Q61" s="86"/>
      <c r="R61" s="86"/>
    </row>
    <row r="62" spans="1:18" ht="15">
      <c r="A62" s="103"/>
      <c r="B62" s="218" t="s">
        <v>123</v>
      </c>
      <c r="C62" s="219"/>
      <c r="D62" s="219"/>
      <c r="E62" s="219"/>
      <c r="F62" s="219"/>
      <c r="G62" s="220"/>
      <c r="H62" s="106">
        <f>3652+796+10066+11003</f>
        <v>25517</v>
      </c>
      <c r="I62" s="71"/>
      <c r="K62" s="86"/>
      <c r="M62" s="86"/>
      <c r="N62" s="86"/>
      <c r="O62" s="86"/>
      <c r="P62" s="86"/>
      <c r="Q62" s="86"/>
      <c r="R62" s="86"/>
    </row>
    <row r="63" spans="1:18" ht="15">
      <c r="A63" s="103"/>
      <c r="B63" s="104" t="s">
        <v>105</v>
      </c>
      <c r="C63" s="87"/>
      <c r="D63" s="87"/>
      <c r="E63" s="87"/>
      <c r="F63" s="87"/>
      <c r="G63" s="87"/>
      <c r="H63" s="106">
        <v>55476</v>
      </c>
      <c r="I63" s="145"/>
      <c r="K63" s="86"/>
      <c r="M63" s="86"/>
      <c r="N63" s="86"/>
      <c r="O63" s="86"/>
      <c r="P63" s="86"/>
      <c r="Q63" s="86"/>
      <c r="R63" s="86"/>
    </row>
    <row r="64" spans="1:18" ht="47.25" customHeight="1">
      <c r="A64" s="103"/>
      <c r="B64" s="192" t="s">
        <v>1</v>
      </c>
      <c r="C64" s="193"/>
      <c r="D64" s="193"/>
      <c r="E64" s="193"/>
      <c r="F64" s="193"/>
      <c r="G64" s="193"/>
      <c r="H64" s="106">
        <f>3.39*6225.33</f>
        <v>21103.868699999999</v>
      </c>
      <c r="I64" s="71"/>
      <c r="K64" s="86"/>
      <c r="M64" s="86"/>
      <c r="N64" s="86"/>
      <c r="O64" s="86"/>
      <c r="P64" s="86"/>
      <c r="Q64" s="86"/>
      <c r="R64" s="86"/>
    </row>
    <row r="65" spans="1:22" ht="31.35" customHeight="1">
      <c r="A65" s="103" t="s">
        <v>19</v>
      </c>
      <c r="B65" s="210" t="s">
        <v>161</v>
      </c>
      <c r="C65" s="211"/>
      <c r="D65" s="211"/>
      <c r="E65" s="211"/>
      <c r="F65" s="211"/>
      <c r="G65" s="212"/>
      <c r="H65" s="106">
        <f>7470+7200</f>
        <v>14670</v>
      </c>
      <c r="I65" s="71"/>
      <c r="K65" s="86"/>
      <c r="M65" s="86"/>
      <c r="N65" s="86"/>
      <c r="O65" s="86"/>
      <c r="P65" s="86"/>
      <c r="Q65" s="86"/>
      <c r="R65" s="86"/>
    </row>
    <row r="66" spans="1:22" ht="15">
      <c r="A66" s="103" t="s">
        <v>112</v>
      </c>
      <c r="B66" s="57" t="s">
        <v>111</v>
      </c>
      <c r="C66" s="87"/>
      <c r="D66" s="87"/>
      <c r="E66" s="87"/>
      <c r="F66" s="87"/>
      <c r="G66" s="87"/>
      <c r="H66" s="106">
        <f>0.48*6225.33</f>
        <v>2988.1583999999998</v>
      </c>
      <c r="I66" s="71"/>
      <c r="K66" s="86"/>
      <c r="M66" s="86"/>
      <c r="N66" s="86"/>
      <c r="O66" s="86"/>
      <c r="P66" s="86"/>
      <c r="Q66" s="86"/>
      <c r="R66" s="86"/>
    </row>
    <row r="67" spans="1:22" ht="14.25">
      <c r="A67" s="103" t="s">
        <v>113</v>
      </c>
      <c r="B67" s="104" t="s">
        <v>20</v>
      </c>
      <c r="C67" s="87"/>
      <c r="D67" s="87"/>
      <c r="E67" s="87"/>
      <c r="F67" s="87"/>
      <c r="G67" s="87"/>
      <c r="H67" s="106">
        <f>11.89*6225.33</f>
        <v>74019.173699999999</v>
      </c>
      <c r="I67" s="107"/>
      <c r="J67" s="107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</row>
    <row r="68" spans="1:22" ht="14.25">
      <c r="A68" s="103" t="s">
        <v>109</v>
      </c>
      <c r="B68" s="104" t="s">
        <v>110</v>
      </c>
      <c r="C68" s="87"/>
      <c r="D68" s="87"/>
      <c r="E68" s="87"/>
      <c r="F68" s="87"/>
      <c r="G68" s="87"/>
      <c r="H68" s="106">
        <f>1.31*6225.33</f>
        <v>8155.1823000000004</v>
      </c>
      <c r="I68" s="107"/>
      <c r="J68" s="107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</row>
    <row r="69" spans="1:22" ht="15">
      <c r="A69" s="103" t="s">
        <v>114</v>
      </c>
      <c r="B69" s="151" t="s">
        <v>130</v>
      </c>
      <c r="C69" s="87"/>
      <c r="D69" s="87"/>
      <c r="E69" s="87"/>
      <c r="F69" s="87"/>
      <c r="G69" s="87"/>
      <c r="H69" s="106">
        <f>7.55*6225.33</f>
        <v>47001.241499999996</v>
      </c>
      <c r="I69" s="71"/>
    </row>
    <row r="70" spans="1:22" ht="15">
      <c r="A70" s="103" t="s">
        <v>115</v>
      </c>
      <c r="B70" s="104" t="s">
        <v>41</v>
      </c>
      <c r="C70" s="87"/>
      <c r="D70" s="87"/>
      <c r="E70" s="87"/>
      <c r="F70" s="87"/>
      <c r="G70" s="87"/>
      <c r="H70" s="106">
        <v>215524.59</v>
      </c>
      <c r="I70" s="71"/>
    </row>
    <row r="71" spans="1:22" ht="15">
      <c r="A71" s="103" t="s">
        <v>116</v>
      </c>
      <c r="B71" s="104" t="s">
        <v>45</v>
      </c>
      <c r="C71" s="87"/>
      <c r="D71" s="87"/>
      <c r="E71" s="87"/>
      <c r="F71" s="87"/>
      <c r="G71" s="87"/>
      <c r="H71" s="106">
        <f>4100*2+996</f>
        <v>9196</v>
      </c>
      <c r="I71" s="71"/>
    </row>
    <row r="72" spans="1:22" ht="15">
      <c r="A72" s="103" t="s">
        <v>117</v>
      </c>
      <c r="B72" s="151" t="s">
        <v>132</v>
      </c>
      <c r="C72" s="87"/>
      <c r="D72" s="87"/>
      <c r="E72" s="87"/>
      <c r="F72" s="87"/>
      <c r="G72" s="87"/>
      <c r="H72" s="106">
        <f>5.97*6225.33</f>
        <v>37165.220099999999</v>
      </c>
      <c r="I72" s="147"/>
    </row>
    <row r="73" spans="1:22" ht="15">
      <c r="A73" s="103">
        <v>10</v>
      </c>
      <c r="B73" s="104" t="s">
        <v>22</v>
      </c>
      <c r="C73" s="87"/>
      <c r="D73" s="87"/>
      <c r="E73" s="87"/>
      <c r="F73" s="87"/>
      <c r="G73" s="87"/>
      <c r="H73" s="106">
        <f>98.78*6225.33</f>
        <v>614938.09739999997</v>
      </c>
      <c r="I73" s="71"/>
    </row>
    <row r="74" spans="1:22" ht="15">
      <c r="A74" s="103">
        <v>11</v>
      </c>
      <c r="B74" s="104" t="s">
        <v>120</v>
      </c>
      <c r="C74" s="87"/>
      <c r="D74" s="87"/>
      <c r="E74" s="87"/>
      <c r="F74" s="87"/>
      <c r="G74" s="87"/>
      <c r="H74" s="106">
        <f>23.7*6225.33</f>
        <v>147540.321</v>
      </c>
      <c r="I74" s="71"/>
    </row>
    <row r="75" spans="1:22" ht="15">
      <c r="A75" s="103">
        <v>12</v>
      </c>
      <c r="B75" s="104" t="s">
        <v>37</v>
      </c>
      <c r="C75" s="87"/>
      <c r="D75" s="87"/>
      <c r="E75" s="87"/>
      <c r="F75" s="87"/>
      <c r="G75" s="87"/>
      <c r="H75" s="106">
        <f>2.28*6225.33</f>
        <v>14193.752399999999</v>
      </c>
      <c r="I75" s="71"/>
    </row>
    <row r="76" spans="1:22" ht="15">
      <c r="A76" s="103">
        <v>13</v>
      </c>
      <c r="B76" s="218" t="s">
        <v>182</v>
      </c>
      <c r="C76" s="219"/>
      <c r="D76" s="219"/>
      <c r="E76" s="219"/>
      <c r="F76" s="219"/>
      <c r="G76" s="220"/>
      <c r="H76" s="106">
        <f>7.1*6225.33</f>
        <v>44199.843000000001</v>
      </c>
      <c r="I76" s="71"/>
    </row>
    <row r="77" spans="1:22" ht="15.6" customHeight="1">
      <c r="A77" s="103">
        <v>14</v>
      </c>
      <c r="B77" s="104" t="s">
        <v>163</v>
      </c>
      <c r="C77" s="87"/>
      <c r="D77" s="87"/>
      <c r="E77" s="87"/>
      <c r="F77" s="87"/>
      <c r="G77" s="87"/>
      <c r="H77" s="94">
        <f>A24*0.03</f>
        <v>42782.85</v>
      </c>
      <c r="I77" s="107"/>
      <c r="J77" s="107"/>
    </row>
    <row r="78" spans="1:22" ht="15.6" customHeight="1">
      <c r="A78" s="139"/>
      <c r="B78" s="116"/>
      <c r="C78" s="116"/>
      <c r="D78" s="116"/>
      <c r="E78" s="116"/>
      <c r="F78" s="116"/>
      <c r="G78" s="116"/>
      <c r="H78" s="136"/>
      <c r="I78" s="107"/>
      <c r="J78" s="107"/>
    </row>
    <row r="79" spans="1:22" s="130" customFormat="1" ht="26.45" customHeight="1">
      <c r="A79" s="221" t="s">
        <v>3</v>
      </c>
      <c r="B79" s="221"/>
      <c r="C79" s="221"/>
      <c r="D79" s="221"/>
      <c r="E79" s="221"/>
      <c r="F79" s="221"/>
      <c r="G79" s="221"/>
      <c r="H79" s="221"/>
      <c r="I79" s="109"/>
      <c r="J79" s="109"/>
      <c r="K79" s="77"/>
    </row>
    <row r="80" spans="1:22" s="130" customFormat="1" ht="7.5" customHeight="1">
      <c r="A80" s="110"/>
      <c r="B80" s="194"/>
      <c r="C80" s="194"/>
      <c r="D80" s="194"/>
      <c r="E80" s="194"/>
      <c r="F80" s="194"/>
      <c r="G80" s="194"/>
      <c r="H80" s="194"/>
      <c r="I80" s="111"/>
      <c r="J80" s="111"/>
    </row>
    <row r="81" spans="1:15" s="130" customFormat="1" ht="15.75">
      <c r="A81" s="191" t="s">
        <v>191</v>
      </c>
      <c r="B81" s="191"/>
      <c r="C81" s="191"/>
      <c r="D81" s="191"/>
      <c r="E81" s="191"/>
      <c r="F81" s="191"/>
      <c r="G81" s="191"/>
      <c r="H81" s="82"/>
      <c r="I81" s="110"/>
    </row>
    <row r="82" spans="1:15" s="130" customFormat="1" ht="11.25" customHeight="1">
      <c r="A82" s="102"/>
      <c r="B82" s="102"/>
      <c r="C82" s="102"/>
      <c r="D82" s="102"/>
      <c r="E82" s="82"/>
      <c r="F82" s="77"/>
      <c r="G82" s="112" t="s">
        <v>95</v>
      </c>
      <c r="H82" s="111"/>
      <c r="I82" s="111"/>
    </row>
    <row r="83" spans="1:15" s="78" customFormat="1" ht="68.25" customHeight="1">
      <c r="A83" s="113" t="s">
        <v>186</v>
      </c>
      <c r="B83" s="113" t="s">
        <v>107</v>
      </c>
      <c r="C83" s="114" t="s">
        <v>96</v>
      </c>
      <c r="D83" s="114" t="s">
        <v>165</v>
      </c>
      <c r="E83" s="115" t="s">
        <v>106</v>
      </c>
      <c r="F83" s="115" t="s">
        <v>172</v>
      </c>
      <c r="G83" s="140" t="s">
        <v>118</v>
      </c>
      <c r="H83" s="115" t="s">
        <v>5</v>
      </c>
      <c r="I83" s="137"/>
      <c r="L83" s="116"/>
    </row>
    <row r="84" spans="1:15" s="78" customFormat="1" ht="14.25">
      <c r="A84" s="129">
        <v>1810</v>
      </c>
      <c r="B84" s="132">
        <v>1620</v>
      </c>
      <c r="C84" s="128">
        <f>2160+1080</f>
        <v>3240</v>
      </c>
      <c r="D84" s="129">
        <f>6000</f>
        <v>6000</v>
      </c>
      <c r="E84" s="128">
        <v>6000</v>
      </c>
      <c r="F84" s="128">
        <f>4800+6000</f>
        <v>10800</v>
      </c>
      <c r="G84" s="128">
        <f>18480+7200</f>
        <v>25680</v>
      </c>
      <c r="H84" s="128">
        <v>216000</v>
      </c>
      <c r="I84" s="79"/>
      <c r="J84" s="116"/>
      <c r="K84" s="116"/>
      <c r="L84" s="116"/>
    </row>
    <row r="85" spans="1:15" s="130" customFormat="1" ht="15.75">
      <c r="A85" s="188" t="s">
        <v>32</v>
      </c>
      <c r="B85" s="188">
        <f>A84+B84+C84+D84+E84+F84+G84+H84+7500</f>
        <v>278650</v>
      </c>
      <c r="C85" s="117"/>
      <c r="D85" s="117"/>
      <c r="E85" s="117"/>
      <c r="F85" s="117"/>
      <c r="G85" s="77"/>
      <c r="H85" s="111"/>
      <c r="I85" s="111"/>
      <c r="J85" s="111"/>
    </row>
    <row r="86" spans="1:15" s="130" customFormat="1" ht="15.6" customHeight="1">
      <c r="A86" s="257" t="s">
        <v>193</v>
      </c>
      <c r="B86" s="257"/>
      <c r="C86" s="257"/>
      <c r="D86" s="257"/>
      <c r="E86" s="257"/>
      <c r="F86" s="257"/>
      <c r="G86" s="257"/>
      <c r="H86" s="257"/>
      <c r="I86" s="111"/>
      <c r="J86" s="111"/>
    </row>
    <row r="87" spans="1:15" s="130" customFormat="1" ht="15.6" customHeight="1">
      <c r="A87" s="257"/>
      <c r="B87" s="257"/>
      <c r="C87" s="257"/>
      <c r="D87" s="257"/>
      <c r="E87" s="257"/>
      <c r="F87" s="257"/>
      <c r="G87" s="257"/>
      <c r="H87" s="257"/>
      <c r="I87" s="111"/>
      <c r="J87" s="111"/>
    </row>
    <row r="88" spans="1:15" s="130" customFormat="1" ht="15.6" customHeight="1">
      <c r="A88" s="257" t="s">
        <v>194</v>
      </c>
      <c r="B88" s="257"/>
      <c r="C88" s="257"/>
      <c r="D88" s="257"/>
      <c r="E88" s="257"/>
      <c r="F88" s="257"/>
      <c r="G88" s="257"/>
      <c r="H88" s="257"/>
      <c r="I88" s="111"/>
      <c r="J88" s="111"/>
    </row>
    <row r="89" spans="1:15" s="130" customFormat="1" ht="15.6" customHeight="1">
      <c r="A89" s="257"/>
      <c r="B89" s="257"/>
      <c r="C89" s="257"/>
      <c r="D89" s="257"/>
      <c r="E89" s="257"/>
      <c r="F89" s="257"/>
      <c r="G89" s="257"/>
      <c r="H89" s="257"/>
      <c r="I89" s="111"/>
      <c r="J89" s="111"/>
    </row>
    <row r="90" spans="1:15" s="130" customFormat="1" ht="15.6" customHeight="1">
      <c r="A90" s="257"/>
      <c r="B90" s="257"/>
      <c r="C90" s="257"/>
      <c r="D90" s="257"/>
      <c r="E90" s="257"/>
      <c r="F90" s="257"/>
      <c r="G90" s="257"/>
      <c r="H90" s="257"/>
      <c r="I90" s="111"/>
      <c r="J90" s="111"/>
    </row>
    <row r="91" spans="1:15" s="130" customFormat="1" ht="96" customHeight="1">
      <c r="A91" s="230" t="s">
        <v>10</v>
      </c>
      <c r="B91" s="230"/>
      <c r="C91" s="230"/>
      <c r="D91" s="230"/>
      <c r="E91" s="230"/>
      <c r="F91" s="230"/>
      <c r="G91" s="230"/>
      <c r="H91" s="230"/>
      <c r="I91" s="118"/>
      <c r="J91" s="118"/>
      <c r="K91" s="118"/>
      <c r="L91" s="118"/>
    </row>
    <row r="92" spans="1:15" ht="60" customHeight="1">
      <c r="A92" s="204" t="s">
        <v>11</v>
      </c>
      <c r="B92" s="204"/>
      <c r="C92" s="204"/>
      <c r="D92" s="204"/>
      <c r="E92" s="204"/>
      <c r="F92" s="204"/>
      <c r="G92" s="204"/>
      <c r="H92" s="204"/>
      <c r="I92" s="119"/>
      <c r="J92" s="119"/>
      <c r="K92" s="119"/>
      <c r="L92" s="119"/>
      <c r="M92" s="119"/>
      <c r="N92" s="119"/>
      <c r="O92" s="119"/>
    </row>
    <row r="93" spans="1:15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</row>
    <row r="94" spans="1:15" ht="15">
      <c r="A94" s="207" t="s">
        <v>74</v>
      </c>
      <c r="B94" s="207"/>
      <c r="C94" s="207"/>
      <c r="D94" s="207"/>
      <c r="E94" s="207"/>
      <c r="F94" s="207"/>
      <c r="G94" s="207"/>
      <c r="H94" s="207"/>
      <c r="I94" s="138"/>
      <c r="J94" s="122"/>
      <c r="K94" s="122"/>
      <c r="L94" s="122"/>
      <c r="M94" s="122"/>
      <c r="N94" s="122"/>
      <c r="O94" s="122"/>
    </row>
    <row r="95" spans="1:15" ht="15">
      <c r="A95" s="207" t="s">
        <v>100</v>
      </c>
      <c r="B95" s="207"/>
      <c r="C95" s="207"/>
      <c r="D95" s="207"/>
      <c r="E95" s="207"/>
      <c r="F95" s="207"/>
      <c r="G95" s="207"/>
      <c r="H95" s="207"/>
      <c r="I95" s="121"/>
      <c r="J95" s="122"/>
      <c r="K95" s="122"/>
      <c r="L95" s="122"/>
      <c r="M95" s="122"/>
      <c r="N95" s="122"/>
      <c r="O95" s="122"/>
    </row>
    <row r="96" spans="1:15" ht="14.25">
      <c r="A96" s="231" t="s">
        <v>97</v>
      </c>
      <c r="B96" s="231"/>
      <c r="C96" s="231"/>
      <c r="D96" s="231"/>
      <c r="E96" s="231"/>
      <c r="F96" s="231"/>
      <c r="G96" s="231"/>
      <c r="H96" s="231"/>
      <c r="I96" s="133"/>
      <c r="J96" s="133"/>
      <c r="K96" s="133"/>
      <c r="L96" s="133"/>
      <c r="M96" s="133"/>
      <c r="N96" s="133"/>
      <c r="O96" s="133"/>
    </row>
    <row r="97" spans="1:15" ht="15">
      <c r="A97" s="229" t="s">
        <v>101</v>
      </c>
      <c r="B97" s="229"/>
      <c r="C97" s="229"/>
      <c r="D97" s="229"/>
      <c r="E97" s="229"/>
      <c r="F97" s="229"/>
      <c r="G97" s="229"/>
      <c r="H97" s="229"/>
      <c r="I97" s="123"/>
      <c r="J97" s="124"/>
      <c r="K97" s="124"/>
      <c r="L97" s="124"/>
      <c r="M97" s="124"/>
      <c r="N97" s="124"/>
      <c r="O97" s="124"/>
    </row>
    <row r="98" spans="1:15" ht="15">
      <c r="A98" s="226" t="s">
        <v>98</v>
      </c>
      <c r="B98" s="226"/>
      <c r="C98" s="226"/>
      <c r="D98" s="226"/>
      <c r="E98" s="226"/>
      <c r="F98" s="226"/>
      <c r="G98" s="226"/>
      <c r="H98" s="226"/>
      <c r="I98" s="125"/>
      <c r="J98" s="126"/>
      <c r="K98" s="126"/>
      <c r="L98" s="126"/>
      <c r="M98" s="126"/>
      <c r="N98" s="126"/>
      <c r="O98" s="126"/>
    </row>
  </sheetData>
  <mergeCells count="56">
    <mergeCell ref="C37:D37"/>
    <mergeCell ref="A56:H56"/>
    <mergeCell ref="A36:H36"/>
    <mergeCell ref="C40:G40"/>
    <mergeCell ref="C42:G42"/>
    <mergeCell ref="C51:G51"/>
    <mergeCell ref="B76:G76"/>
    <mergeCell ref="A39:B43"/>
    <mergeCell ref="E5:H8"/>
    <mergeCell ref="B20:F20"/>
    <mergeCell ref="F21:F23"/>
    <mergeCell ref="G21:G23"/>
    <mergeCell ref="C21:E23"/>
    <mergeCell ref="A25:H25"/>
    <mergeCell ref="A21:B23"/>
    <mergeCell ref="A38:B38"/>
    <mergeCell ref="B59:G59"/>
    <mergeCell ref="A27:H27"/>
    <mergeCell ref="A95:H95"/>
    <mergeCell ref="A31:H31"/>
    <mergeCell ref="A33:H33"/>
    <mergeCell ref="A81:G81"/>
    <mergeCell ref="C39:G39"/>
    <mergeCell ref="A92:H92"/>
    <mergeCell ref="A58:G58"/>
    <mergeCell ref="C38:G38"/>
    <mergeCell ref="C24:E24"/>
    <mergeCell ref="B62:G62"/>
    <mergeCell ref="K67:V67"/>
    <mergeCell ref="C49:G49"/>
    <mergeCell ref="A49:B49"/>
    <mergeCell ref="A45:H45"/>
    <mergeCell ref="A47:H47"/>
    <mergeCell ref="A26:H26"/>
    <mergeCell ref="B65:G65"/>
    <mergeCell ref="C50:G50"/>
    <mergeCell ref="B64:G64"/>
    <mergeCell ref="B80:H80"/>
    <mergeCell ref="A98:H98"/>
    <mergeCell ref="A1:H1"/>
    <mergeCell ref="A2:H2"/>
    <mergeCell ref="A3:H3"/>
    <mergeCell ref="A17:H17"/>
    <mergeCell ref="A19:H19"/>
    <mergeCell ref="H21:H23"/>
    <mergeCell ref="A24:B24"/>
    <mergeCell ref="A86:H87"/>
    <mergeCell ref="A88:H90"/>
    <mergeCell ref="A96:H96"/>
    <mergeCell ref="E37:F37"/>
    <mergeCell ref="A97:H97"/>
    <mergeCell ref="A54:H54"/>
    <mergeCell ref="A94:H94"/>
    <mergeCell ref="A50:B51"/>
    <mergeCell ref="A91:H91"/>
    <mergeCell ref="A79:H79"/>
  </mergeCells>
  <phoneticPr fontId="11" type="noConversion"/>
  <hyperlinks>
    <hyperlink ref="A96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4" orientation="portrait" verticalDpi="360" r:id="rId2"/>
  <headerFooter alignWithMargins="0"/>
  <rowBreaks count="1" manualBreakCount="1">
    <brk id="55" max="7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Пожарка</vt:lpstr>
      <vt:lpstr>Промывка</vt:lpstr>
      <vt:lpstr>Энергетиков 53</vt:lpstr>
      <vt:lpstr>Основное!Область_печати</vt:lpstr>
      <vt:lpstr>'Энергетиков 53'!Область_печати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1</cp:lastModifiedBy>
  <cp:lastPrinted>2023-12-13T07:25:33Z</cp:lastPrinted>
  <dcterms:created xsi:type="dcterms:W3CDTF">2011-03-16T07:53:38Z</dcterms:created>
  <dcterms:modified xsi:type="dcterms:W3CDTF">2023-12-13T07:45:29Z</dcterms:modified>
</cp:coreProperties>
</file>